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0" yWindow="0" windowWidth="9360" windowHeight="5550" activeTab="0"/>
  </bookViews>
  <sheets>
    <sheet name="Eingabe" sheetId="1" r:id="rId1"/>
    <sheet name="Grafik" sheetId="2" r:id="rId2"/>
    <sheet name="Lastfälle" sheetId="3" r:id="rId3"/>
    <sheet name="Rm_Re" sheetId="4" r:id="rId4"/>
  </sheets>
  <definedNames>
    <definedName name="CB">'Eingabe'!$C$18</definedName>
    <definedName name="da">'Eingabe'!$C$32</definedName>
    <definedName name="di">'Eingabe'!$C$33</definedName>
    <definedName name="k">'Eingabe'!$C$27</definedName>
    <definedName name="KAPPA">'Eingabe'!$C$164</definedName>
    <definedName name="M">'Eingabe'!$C$179</definedName>
    <definedName name="MNENN">'Eingabe'!$C$179</definedName>
    <definedName name="MV">'Eingabe'!$C$180</definedName>
    <definedName name="RE">'Eingabe'!$C$25</definedName>
    <definedName name="RM">'Eingabe'!$C$24</definedName>
    <definedName name="SIGMA_D">'Eingabe'!$C$156</definedName>
    <definedName name="SIGMA_F">'Eingabe'!$C$153</definedName>
    <definedName name="SIGMA_SCH">'Eingabe'!$C$154</definedName>
    <definedName name="SIGMA_W">'Eingabe'!$C$155</definedName>
    <definedName name="TNENN">'Eingabe'!$C$14</definedName>
  </definedNames>
  <calcPr fullCalcOnLoad="1"/>
</workbook>
</file>

<file path=xl/sharedStrings.xml><?xml version="1.0" encoding="utf-8"?>
<sst xmlns="http://schemas.openxmlformats.org/spreadsheetml/2006/main" count="176" uniqueCount="123">
  <si>
    <t>Auftrags-Nummer: ..................................................</t>
  </si>
  <si>
    <t>Arbeitsbl.:</t>
  </si>
  <si>
    <t>QWL-01L</t>
  </si>
  <si>
    <t>Bearbeiter ............................................................</t>
  </si>
  <si>
    <t>Datum:</t>
  </si>
  <si>
    <t>WELLE</t>
  </si>
  <si>
    <t>Bemerkungen:</t>
  </si>
  <si>
    <t xml:space="preserve"> </t>
  </si>
  <si>
    <t>(Entwurfsberechnung)</t>
  </si>
  <si>
    <t xml:space="preserve">         Ergebnisse sind ca.-Werte für die Entwurfsarbeit</t>
  </si>
  <si>
    <t>(siehe Bild 11-17)</t>
  </si>
  <si>
    <t>alle Hinweise beziehen sich auf</t>
  </si>
  <si>
    <t>Roloff/Matek  "Maschinenelemente"</t>
  </si>
  <si>
    <t>13. Auflage</t>
  </si>
  <si>
    <t>*** EINGABE ***</t>
  </si>
  <si>
    <t xml:space="preserve">           Variante A</t>
  </si>
  <si>
    <t xml:space="preserve">          Variante B</t>
  </si>
  <si>
    <r>
      <t xml:space="preserve">Nenndrehmoment         (Nm)                        </t>
    </r>
    <r>
      <rPr>
        <sz val="12"/>
        <color indexed="8"/>
        <rFont val="Arial"/>
        <family val="2"/>
      </rPr>
      <t>T</t>
    </r>
    <r>
      <rPr>
        <vertAlign val="subscript"/>
        <sz val="13"/>
        <color indexed="8"/>
        <rFont val="Arial"/>
        <family val="2"/>
      </rPr>
      <t>nenn</t>
    </r>
  </si>
  <si>
    <t>Biegemoment vorhanden       ja &lt;1&gt;    nein &lt;2&gt;</t>
  </si>
  <si>
    <t>Biegemoment bekannt          ja &lt;1&gt;    nein &lt;2&gt;</t>
  </si>
  <si>
    <r>
      <t xml:space="preserve">bei "nein" M=0, sonst   (Nm)                       </t>
    </r>
    <r>
      <rPr>
        <sz val="12"/>
        <color indexed="8"/>
        <rFont val="Arial"/>
        <family val="2"/>
      </rPr>
      <t xml:space="preserve"> M</t>
    </r>
    <r>
      <rPr>
        <vertAlign val="subscript"/>
        <sz val="13"/>
        <color indexed="8"/>
        <rFont val="Arial"/>
        <family val="2"/>
      </rPr>
      <t>nenn</t>
    </r>
  </si>
  <si>
    <r>
      <t>Betriebsfaktor  (TB 3-6)                                 c</t>
    </r>
    <r>
      <rPr>
        <vertAlign val="subscript"/>
        <sz val="13"/>
        <color indexed="8"/>
        <rFont val="Arial"/>
        <family val="2"/>
      </rPr>
      <t>B</t>
    </r>
  </si>
  <si>
    <t>Lastfall:   Torsion                            II &lt;2&gt;     III &lt;3&gt;</t>
  </si>
  <si>
    <t>Lastfall:   Biegung                           II &lt;2&gt;     III &lt;3&gt;</t>
  </si>
  <si>
    <t>Stahlart:</t>
  </si>
  <si>
    <r>
      <t>Baustahl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&lt;1&gt; </t>
    </r>
    <r>
      <rPr>
        <b/>
        <sz val="8"/>
        <color indexed="8"/>
        <rFont val="Arial"/>
        <family val="2"/>
      </rPr>
      <t>Vergütungsstahl</t>
    </r>
    <r>
      <rPr>
        <sz val="10"/>
        <color indexed="8"/>
        <rFont val="Arial"/>
        <family val="2"/>
      </rPr>
      <t xml:space="preserve"> &lt;2&gt; </t>
    </r>
    <r>
      <rPr>
        <b/>
        <sz val="8"/>
        <color indexed="8"/>
        <rFont val="Arial"/>
        <family val="2"/>
      </rPr>
      <t>Einsatzstahl</t>
    </r>
    <r>
      <rPr>
        <sz val="10"/>
        <color indexed="8"/>
        <rFont val="Arial"/>
        <family val="2"/>
      </rPr>
      <t xml:space="preserve"> &lt;3&gt;</t>
    </r>
  </si>
  <si>
    <r>
      <t>Zugfestigkeit  (TB 1-4)  (N/mm²)                      R</t>
    </r>
    <r>
      <rPr>
        <vertAlign val="subscript"/>
        <sz val="12"/>
        <color indexed="8"/>
        <rFont val="Arial"/>
        <family val="2"/>
      </rPr>
      <t>m</t>
    </r>
  </si>
  <si>
    <r>
      <t>Streckgrenze (TB 1-4)  (N/mm²)                      R</t>
    </r>
    <r>
      <rPr>
        <vertAlign val="subscript"/>
        <sz val="12"/>
        <color indexed="8"/>
        <rFont val="Arial"/>
        <family val="2"/>
      </rPr>
      <t>e</t>
    </r>
  </si>
  <si>
    <r>
      <t>Durchmesserverhältnis k=d</t>
    </r>
    <r>
      <rPr>
        <vertAlign val="subscript"/>
        <sz val="12"/>
        <color indexed="8"/>
        <rFont val="Arial"/>
        <family val="2"/>
      </rPr>
      <t xml:space="preserve">i </t>
    </r>
    <r>
      <rPr>
        <sz val="10"/>
        <color indexed="8"/>
        <rFont val="Arial"/>
        <family val="0"/>
      </rPr>
      <t>/d</t>
    </r>
    <r>
      <rPr>
        <vertAlign val="subscript"/>
        <sz val="12"/>
        <color indexed="8"/>
        <rFont val="Arial"/>
        <family val="2"/>
      </rPr>
      <t>a</t>
    </r>
    <r>
      <rPr>
        <sz val="10"/>
        <color indexed="8"/>
        <rFont val="Arial"/>
        <family val="0"/>
      </rPr>
      <t xml:space="preserve">   0&lt;k&lt;1</t>
    </r>
  </si>
  <si>
    <t xml:space="preserve">Für die Eingabewerte ergeben sich die Richtdurchmesser </t>
  </si>
  <si>
    <r>
      <t>d</t>
    </r>
    <r>
      <rPr>
        <b/>
        <vertAlign val="subscript"/>
        <sz val="11"/>
        <color indexed="8"/>
        <rFont val="Arial"/>
        <family val="2"/>
      </rPr>
      <t>a</t>
    </r>
    <r>
      <rPr>
        <b/>
        <sz val="8"/>
        <color indexed="8"/>
        <rFont val="Arial"/>
        <family val="0"/>
      </rPr>
      <t xml:space="preserve"> (Außen-) und d</t>
    </r>
    <r>
      <rPr>
        <b/>
        <vertAlign val="subscript"/>
        <sz val="11"/>
        <color indexed="8"/>
        <rFont val="Arial"/>
        <family val="2"/>
      </rPr>
      <t>i</t>
    </r>
    <r>
      <rPr>
        <b/>
        <sz val="8"/>
        <color indexed="8"/>
        <rFont val="Arial"/>
        <family val="0"/>
      </rPr>
      <t xml:space="preserve"> (Innendurchmesser). </t>
    </r>
  </si>
  <si>
    <t>Querschnittsschwächungen (Paßfedernut o.ä.) müssen noch berücksichtigt werden.</t>
  </si>
  <si>
    <r>
      <t xml:space="preserve"> Richtdurchmesser (mm)                d</t>
    </r>
    <r>
      <rPr>
        <b/>
        <vertAlign val="subscript"/>
        <sz val="13"/>
        <color indexed="8"/>
        <rFont val="Arial"/>
        <family val="0"/>
      </rPr>
      <t>a</t>
    </r>
    <r>
      <rPr>
        <b/>
        <sz val="10"/>
        <color indexed="8"/>
        <rFont val="Arial"/>
        <family val="0"/>
      </rPr>
      <t xml:space="preserve">' =          </t>
    </r>
  </si>
  <si>
    <t>mm</t>
  </si>
  <si>
    <r>
      <t xml:space="preserve">                                                      d</t>
    </r>
    <r>
      <rPr>
        <b/>
        <vertAlign val="subscript"/>
        <sz val="13"/>
        <color indexed="8"/>
        <rFont val="Arial"/>
        <family val="0"/>
      </rPr>
      <t>i</t>
    </r>
    <r>
      <rPr>
        <b/>
        <sz val="10"/>
        <color indexed="8"/>
        <rFont val="Arial"/>
        <family val="0"/>
      </rPr>
      <t>'  =</t>
    </r>
  </si>
  <si>
    <t>Auftrags-Nummer ................................................................</t>
  </si>
  <si>
    <t>Bearbeiter ...........................................................................</t>
  </si>
  <si>
    <t>Wellenberechnung</t>
  </si>
  <si>
    <t xml:space="preserve">Ermittlung der Richtdurchmesser da und di </t>
  </si>
  <si>
    <t>Die errechneten Richtdurchmesser basieren auf vereinfachte Annahmen der Dauerfestigkeitswerte</t>
  </si>
  <si>
    <t>und sind somit nur zulässig für die Entwurfsarbeit; ein anschließender Dauerfestigkeitsnachweis</t>
  </si>
  <si>
    <t>ist für jeden gefährdeten Querschitt nach der Gestaltungsphase durchzuführen, denn nur dann</t>
  </si>
  <si>
    <t>liegen alle für die Berechnung erforderlichen Daten vor.</t>
  </si>
  <si>
    <t>a) Belastungsdaten</t>
  </si>
  <si>
    <r>
      <t>für das Nenn-Drehmoment                             T</t>
    </r>
    <r>
      <rPr>
        <vertAlign val="subscript"/>
        <sz val="12"/>
        <color indexed="8"/>
        <rFont val="Arial"/>
        <family val="2"/>
      </rPr>
      <t>nenn</t>
    </r>
    <r>
      <rPr>
        <sz val="10"/>
        <color indexed="8"/>
        <rFont val="Arial"/>
        <family val="0"/>
      </rPr>
      <t xml:space="preserve"> </t>
    </r>
  </si>
  <si>
    <t>Nm</t>
  </si>
  <si>
    <t>Lastfall</t>
  </si>
  <si>
    <t>( - )</t>
  </si>
  <si>
    <r>
      <t>und das Nenn-Biegemoment                         M</t>
    </r>
    <r>
      <rPr>
        <vertAlign val="subscript"/>
        <sz val="12"/>
        <color indexed="8"/>
        <rFont val="Arial"/>
        <family val="2"/>
      </rPr>
      <t>nenn</t>
    </r>
  </si>
  <si>
    <r>
      <t>wird mit dem Betriebsfaktor                              c</t>
    </r>
    <r>
      <rPr>
        <vertAlign val="subscript"/>
        <sz val="12"/>
        <color indexed="8"/>
        <rFont val="Arial"/>
        <family val="2"/>
      </rPr>
      <t>B</t>
    </r>
    <r>
      <rPr>
        <sz val="10"/>
        <color indexed="8"/>
        <rFont val="Arial"/>
        <family val="0"/>
      </rPr>
      <t xml:space="preserve"> </t>
    </r>
  </si>
  <si>
    <r>
      <t>das maßgebende Vergleichsmoment                M</t>
    </r>
    <r>
      <rPr>
        <vertAlign val="subscript"/>
        <sz val="12"/>
        <color indexed="8"/>
        <rFont val="Arial"/>
        <family val="2"/>
      </rPr>
      <t>v</t>
    </r>
  </si>
  <si>
    <t>b) Werkstoffdaten</t>
  </si>
  <si>
    <t xml:space="preserve">vorgesehener Wellenwerkstoff </t>
  </si>
  <si>
    <r>
      <t>mit der Zugfestigkeit R</t>
    </r>
    <r>
      <rPr>
        <vertAlign val="subscript"/>
        <sz val="12"/>
        <color indexed="8"/>
        <rFont val="Arial"/>
        <family val="2"/>
      </rPr>
      <t>m</t>
    </r>
    <r>
      <rPr>
        <sz val="10"/>
        <color indexed="8"/>
        <rFont val="Arial"/>
        <family val="0"/>
      </rPr>
      <t xml:space="preserve"> </t>
    </r>
  </si>
  <si>
    <t>N/mm²</t>
  </si>
  <si>
    <r>
      <t>und der Streckgrenze R</t>
    </r>
    <r>
      <rPr>
        <vertAlign val="subscript"/>
        <sz val="12"/>
        <color indexed="8"/>
        <rFont val="Arial"/>
        <family val="2"/>
      </rPr>
      <t>e</t>
    </r>
    <r>
      <rPr>
        <sz val="10"/>
        <color indexed="8"/>
        <rFont val="Arial"/>
        <family val="0"/>
      </rPr>
      <t xml:space="preserve"> </t>
    </r>
  </si>
  <si>
    <t>Ergebnis</t>
  </si>
  <si>
    <r>
      <t>für das Durchmesserverhältnis                  k = d</t>
    </r>
    <r>
      <rPr>
        <vertAlign val="subscript"/>
        <sz val="12"/>
        <color indexed="8"/>
        <rFont val="Arial"/>
        <family val="2"/>
      </rPr>
      <t xml:space="preserve">i </t>
    </r>
    <r>
      <rPr>
        <sz val="10"/>
        <color indexed="8"/>
        <rFont val="Arial"/>
        <family val="0"/>
      </rPr>
      <t>/d</t>
    </r>
    <r>
      <rPr>
        <vertAlign val="subscript"/>
        <sz val="12"/>
        <color indexed="8"/>
        <rFont val="Arial"/>
        <family val="2"/>
      </rPr>
      <t>a</t>
    </r>
    <r>
      <rPr>
        <sz val="10"/>
        <color indexed="8"/>
        <rFont val="Arial"/>
        <family val="0"/>
      </rPr>
      <t xml:space="preserve"> </t>
    </r>
  </si>
  <si>
    <t>ergeben sich folgende Richtwerte:</t>
  </si>
  <si>
    <r>
      <t>für den Außendurchmesser                                d</t>
    </r>
    <r>
      <rPr>
        <vertAlign val="subscript"/>
        <sz val="12"/>
        <color indexed="8"/>
        <rFont val="Arial"/>
        <family val="2"/>
      </rPr>
      <t>a</t>
    </r>
    <r>
      <rPr>
        <sz val="10"/>
        <color indexed="8"/>
        <rFont val="Arial"/>
        <family val="0"/>
      </rPr>
      <t xml:space="preserve"> </t>
    </r>
  </si>
  <si>
    <r>
      <t>für den Innendurchmesser                                  d</t>
    </r>
    <r>
      <rPr>
        <vertAlign val="subscript"/>
        <sz val="12"/>
        <color indexed="8"/>
        <rFont val="Arial"/>
        <family val="2"/>
      </rPr>
      <t xml:space="preserve">i </t>
    </r>
    <r>
      <rPr>
        <sz val="10"/>
        <color indexed="8"/>
        <rFont val="Arial"/>
        <family val="0"/>
      </rPr>
      <t xml:space="preserve"> </t>
    </r>
  </si>
  <si>
    <t>eventuelle Querschnittsschwächungen (z.B. durch Paßfedernut) sind noch zu berücksichtigen!</t>
  </si>
  <si>
    <t xml:space="preserve">                                    Hilfsgrößen</t>
  </si>
  <si>
    <t>Variante A</t>
  </si>
  <si>
    <t>Variante B</t>
  </si>
  <si>
    <t xml:space="preserve"> Dauerfestigkeitswerte (ca.-Werte)</t>
  </si>
  <si>
    <t>Fließgrenze sigma_F   (N/mm²)   (I)</t>
  </si>
  <si>
    <t>Schwellfestigkeit     (N/mm²)   (II)</t>
  </si>
  <si>
    <t>Wechselfestigkeit     (N/mm²)   (III)</t>
  </si>
  <si>
    <t xml:space="preserve">maßgebende Festigkeit (N/mm²) </t>
  </si>
  <si>
    <t>Gl.(11.12)</t>
  </si>
  <si>
    <t>Gl.(11.14)</t>
  </si>
  <si>
    <t>Gl.(11.17)</t>
  </si>
  <si>
    <t>maßgebender Richtdurchmesser</t>
  </si>
  <si>
    <t xml:space="preserve">   Hilfsgrößen Dauerfestigkeit </t>
  </si>
  <si>
    <t xml:space="preserve">    maßg. Bieg.&lt;2&gt;  Tors.&lt;3&gt;</t>
  </si>
  <si>
    <t xml:space="preserve">    maßg. Lastfall II&lt;2&gt;  III&lt;3&gt;</t>
  </si>
  <si>
    <t xml:space="preserve">    maßg. Spannungsverhältnis</t>
  </si>
  <si>
    <t>Gl. 3.10a</t>
  </si>
  <si>
    <t>Gl. 3.10a'</t>
  </si>
  <si>
    <t>Faktor K1</t>
  </si>
  <si>
    <t>maßgebender Faktor K1</t>
  </si>
  <si>
    <t>Faktor K2</t>
  </si>
  <si>
    <t>maßgebender Faktor K2</t>
  </si>
  <si>
    <t>Fließgrenze'</t>
  </si>
  <si>
    <t>Wechselfestigkeit'</t>
  </si>
  <si>
    <t>Schwellfestigkeit'</t>
  </si>
  <si>
    <t xml:space="preserve">maßgebend       M,Mv &lt;2&gt;  T &lt;3&gt;    </t>
  </si>
  <si>
    <r>
      <t xml:space="preserve">Berechnungsmoment    (Nm)        </t>
    </r>
    <r>
      <rPr>
        <sz val="12"/>
        <color indexed="8"/>
        <rFont val="Arial"/>
        <family val="2"/>
      </rPr>
      <t xml:space="preserve">                M</t>
    </r>
    <r>
      <rPr>
        <vertAlign val="subscript"/>
        <sz val="13"/>
        <color indexed="8"/>
        <rFont val="Arial"/>
        <family val="2"/>
      </rPr>
      <t>nenn*</t>
    </r>
  </si>
  <si>
    <t xml:space="preserve">maßgeb. Moment        (Nm) </t>
  </si>
  <si>
    <t>Anstrengungsverhältnis</t>
  </si>
  <si>
    <t>Werkstoffauswahl nach TB 1-4</t>
  </si>
  <si>
    <t>Angaben in N/mm²</t>
  </si>
  <si>
    <t xml:space="preserve">            Baustähle</t>
  </si>
  <si>
    <t xml:space="preserve">      Vergütungsstähle</t>
  </si>
  <si>
    <t xml:space="preserve">           Einsatzstähle</t>
  </si>
  <si>
    <r>
      <t>R</t>
    </r>
    <r>
      <rPr>
        <b/>
        <vertAlign val="subscript"/>
        <sz val="12"/>
        <color indexed="8"/>
        <rFont val="Arial"/>
        <family val="2"/>
      </rPr>
      <t>m</t>
    </r>
  </si>
  <si>
    <r>
      <t>R</t>
    </r>
    <r>
      <rPr>
        <b/>
        <vertAlign val="subscript"/>
        <sz val="12"/>
        <color indexed="8"/>
        <rFont val="Arial"/>
        <family val="2"/>
      </rPr>
      <t>e</t>
    </r>
  </si>
  <si>
    <t>St37-2</t>
  </si>
  <si>
    <t>C22</t>
  </si>
  <si>
    <t>C10</t>
  </si>
  <si>
    <t>St44-2</t>
  </si>
  <si>
    <t>C45</t>
  </si>
  <si>
    <t>C15</t>
  </si>
  <si>
    <t>St50-2</t>
  </si>
  <si>
    <t>C60</t>
  </si>
  <si>
    <t>17Cr3</t>
  </si>
  <si>
    <t>St60-2</t>
  </si>
  <si>
    <t>46Cr2</t>
  </si>
  <si>
    <t>16MnCr5</t>
  </si>
  <si>
    <t>St70-2</t>
  </si>
  <si>
    <t>41Cr4</t>
  </si>
  <si>
    <t>20MnCr5</t>
  </si>
  <si>
    <t>25CrMo4</t>
  </si>
  <si>
    <t>20MoCr4</t>
  </si>
  <si>
    <t>42CrMo4</t>
  </si>
  <si>
    <t>15CrNi6</t>
  </si>
  <si>
    <t>50CrMo4</t>
  </si>
  <si>
    <t>17CrNiMo6</t>
  </si>
  <si>
    <t>30CrNiMo8</t>
  </si>
  <si>
    <t>snah</t>
  </si>
  <si>
    <t>Christian</t>
  </si>
  <si>
    <t>Mendera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</si>
</sst>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m/d"/>
    <numFmt numFmtId="176" formatCode="#,##0.0"/>
  </numFmts>
  <fonts count="25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ourier"/>
      <family val="0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0"/>
      <name val="Arial"/>
      <family val="0"/>
    </font>
    <font>
      <vertAlign val="subscript"/>
      <sz val="13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bscript"/>
      <sz val="13"/>
      <color indexed="8"/>
      <name val="Arial"/>
      <family val="0"/>
    </font>
    <font>
      <b/>
      <vertAlign val="subscript"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3" xfId="0" applyFont="1" applyFill="1" applyBorder="1" applyAlignment="1" applyProtection="1">
      <alignment/>
      <protection locked="0"/>
    </xf>
    <xf numFmtId="0" fontId="13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0" fontId="13" fillId="2" borderId="9" xfId="0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/>
    </xf>
    <xf numFmtId="0" fontId="11" fillId="2" borderId="15" xfId="0" applyFont="1" applyFill="1" applyBorder="1" applyAlignment="1">
      <alignment/>
    </xf>
    <xf numFmtId="1" fontId="4" fillId="2" borderId="16" xfId="0" applyNumberFormat="1" applyFont="1" applyFill="1" applyBorder="1" applyAlignment="1">
      <alignment/>
    </xf>
    <xf numFmtId="1" fontId="4" fillId="2" borderId="17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76" fontId="4" fillId="2" borderId="4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7" xfId="0" applyNumberFormat="1" applyFont="1" applyFill="1" applyBorder="1" applyAlignment="1">
      <alignment/>
    </xf>
    <xf numFmtId="176" fontId="4" fillId="2" borderId="25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7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28" xfId="0" applyFont="1" applyFill="1" applyBorder="1" applyAlignment="1">
      <alignment/>
    </xf>
    <xf numFmtId="0" fontId="12" fillId="2" borderId="29" xfId="0" applyFont="1" applyFill="1" applyBorder="1" applyAlignment="1" applyProtection="1">
      <alignment/>
      <protection locked="0"/>
    </xf>
    <xf numFmtId="0" fontId="14" fillId="2" borderId="29" xfId="0" applyFont="1" applyFill="1" applyBorder="1" applyAlignment="1">
      <alignment horizontal="center"/>
    </xf>
    <xf numFmtId="0" fontId="12" fillId="2" borderId="30" xfId="0" applyFont="1" applyFill="1" applyBorder="1" applyAlignment="1" applyProtection="1">
      <alignment/>
      <protection locked="0"/>
    </xf>
    <xf numFmtId="0" fontId="14" fillId="2" borderId="31" xfId="0" applyFont="1" applyFill="1" applyBorder="1" applyAlignment="1">
      <alignment horizontal="center"/>
    </xf>
    <xf numFmtId="0" fontId="16" fillId="3" borderId="32" xfId="0" applyFont="1" applyFill="1" applyBorder="1" applyAlignment="1">
      <alignment/>
    </xf>
    <xf numFmtId="0" fontId="12" fillId="3" borderId="2" xfId="0" applyFont="1" applyFill="1" applyBorder="1" applyAlignment="1" applyProtection="1">
      <alignment/>
      <protection locked="0"/>
    </xf>
    <xf numFmtId="0" fontId="12" fillId="3" borderId="3" xfId="0" applyFont="1" applyFill="1" applyBorder="1" applyAlignment="1" applyProtection="1">
      <alignment/>
      <protection locked="0"/>
    </xf>
    <xf numFmtId="0" fontId="16" fillId="2" borderId="32" xfId="0" applyFont="1" applyFill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right"/>
    </xf>
    <xf numFmtId="0" fontId="12" fillId="2" borderId="35" xfId="0" applyFont="1" applyFill="1" applyBorder="1" applyAlignment="1" applyProtection="1">
      <alignment horizontal="right"/>
      <protection locked="0"/>
    </xf>
    <xf numFmtId="0" fontId="12" fillId="2" borderId="35" xfId="0" applyFont="1" applyFill="1" applyBorder="1" applyAlignment="1" applyProtection="1">
      <alignment/>
      <protection locked="0"/>
    </xf>
    <xf numFmtId="0" fontId="6" fillId="3" borderId="11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4" fillId="3" borderId="13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Continuous"/>
    </xf>
    <xf numFmtId="0" fontId="4" fillId="3" borderId="8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3" borderId="16" xfId="0" applyFont="1" applyFill="1" applyBorder="1" applyAlignment="1" applyProtection="1">
      <alignment/>
      <protection locked="0"/>
    </xf>
    <xf numFmtId="0" fontId="13" fillId="2" borderId="25" xfId="0" applyFont="1" applyFill="1" applyBorder="1" applyAlignment="1">
      <alignment horizontal="center"/>
    </xf>
    <xf numFmtId="0" fontId="12" fillId="2" borderId="16" xfId="0" applyFont="1" applyFill="1" applyBorder="1" applyAlignment="1" applyProtection="1">
      <alignment/>
      <protection locked="0"/>
    </xf>
    <xf numFmtId="0" fontId="13" fillId="2" borderId="36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10" fillId="2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5" fillId="4" borderId="37" xfId="0" applyFont="1" applyFill="1" applyBorder="1" applyAlignment="1">
      <alignment horizontal="center"/>
    </xf>
    <xf numFmtId="0" fontId="6" fillId="4" borderId="39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3" fillId="2" borderId="4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169" fontId="6" fillId="5" borderId="9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8" fillId="4" borderId="12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4" fillId="4" borderId="6" xfId="0" applyFont="1" applyFill="1" applyBorder="1" applyAlignment="1" applyProtection="1">
      <alignment/>
      <protection locked="0"/>
    </xf>
    <xf numFmtId="0" fontId="4" fillId="4" borderId="8" xfId="0" applyFont="1" applyFill="1" applyBorder="1" applyAlignment="1" applyProtection="1">
      <alignment/>
      <protection locked="0"/>
    </xf>
    <xf numFmtId="0" fontId="4" fillId="4" borderId="9" xfId="0" applyFont="1" applyFill="1" applyBorder="1" applyAlignment="1" applyProtection="1">
      <alignment/>
      <protection locked="0"/>
    </xf>
    <xf numFmtId="0" fontId="14" fillId="4" borderId="11" xfId="0" applyFont="1" applyFill="1" applyBorder="1" applyAlignment="1">
      <alignment/>
    </xf>
    <xf numFmtId="0" fontId="6" fillId="4" borderId="5" xfId="0" applyFont="1" applyFill="1" applyBorder="1" applyAlignment="1">
      <alignment horizontal="left"/>
    </xf>
    <xf numFmtId="0" fontId="6" fillId="4" borderId="5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/>
      <protection locked="0"/>
    </xf>
    <xf numFmtId="0" fontId="4" fillId="5" borderId="11" xfId="0" applyFont="1" applyFill="1" applyBorder="1" applyAlignment="1">
      <alignment/>
    </xf>
    <xf numFmtId="0" fontId="4" fillId="2" borderId="32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Continuous"/>
      <protection locked="0"/>
    </xf>
    <xf numFmtId="0" fontId="6" fillId="5" borderId="12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1" fontId="5" fillId="6" borderId="41" xfId="0" applyNumberFormat="1" applyFont="1" applyFill="1" applyBorder="1" applyAlignment="1">
      <alignment horizontal="right"/>
    </xf>
    <xf numFmtId="1" fontId="5" fillId="6" borderId="10" xfId="0" applyNumberFormat="1" applyFont="1" applyFill="1" applyBorder="1" applyAlignment="1">
      <alignment horizontal="right"/>
    </xf>
    <xf numFmtId="0" fontId="7" fillId="7" borderId="1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5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169" fontId="6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4" fillId="2" borderId="9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left"/>
    </xf>
    <xf numFmtId="176" fontId="4" fillId="2" borderId="36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176" fontId="4" fillId="2" borderId="0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Continuous"/>
    </xf>
    <xf numFmtId="0" fontId="5" fillId="2" borderId="37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6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41" xfId="0" applyFont="1" applyFill="1" applyBorder="1" applyAlignment="1">
      <alignment horizontal="centerContinuous"/>
    </xf>
    <xf numFmtId="0" fontId="6" fillId="2" borderId="4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1">
    <cellStyle name="Normal" xfId="0"/>
    <cellStyle name="Datum" xfId="15"/>
    <cellStyle name="Comma" xfId="16"/>
    <cellStyle name="Fest" xfId="17"/>
    <cellStyle name="Gesamt" xfId="18"/>
    <cellStyle name="Komma0" xfId="19"/>
    <cellStyle name="Percent" xfId="20"/>
    <cellStyle name="Currency" xfId="21"/>
    <cellStyle name="Währung0" xfId="22"/>
    <cellStyle name="Zeile 1" xfId="23"/>
    <cellStyle name="Zeile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95250</xdr:rowOff>
    </xdr:from>
    <xdr:to>
      <xdr:col>9</xdr:col>
      <xdr:colOff>0</xdr:colOff>
      <xdr:row>15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4143375" y="904875"/>
          <a:ext cx="2714625" cy="1666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Welle wird zwischen den Lagern primär auf Verdrehen und zusätzlich auf Biegung bean-sprucht; im Bereich des Wellenzapfens dagegen lediglich auf Verdrehen (die Schubbeanspru-chung durch die Querkraft bleibt bei diesem Arbeitsblatt unberücksichtigt). Bei gleichzeitiger Beanspruchung von Biegung und Verdrehung sollte das Verhältnis M/T den Wert 1,5 nicht überschreiten, anderenfalls ist ein etwas größerer Durchmesser zu erwarten.</a:t>
          </a:r>
        </a:p>
      </xdr:txBody>
    </xdr:sp>
    <xdr:clientData/>
  </xdr:twoCellAnchor>
  <xdr:twoCellAnchor editAs="oneCell">
    <xdr:from>
      <xdr:col>1</xdr:col>
      <xdr:colOff>704850</xdr:colOff>
      <xdr:row>5</xdr:row>
      <xdr:rowOff>76200</xdr:rowOff>
    </xdr:from>
    <xdr:to>
      <xdr:col>5</xdr:col>
      <xdr:colOff>133350</xdr:colOff>
      <xdr:row>18</xdr:row>
      <xdr:rowOff>47625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85825"/>
          <a:ext cx="24765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3</xdr:row>
      <xdr:rowOff>19050</xdr:rowOff>
    </xdr:from>
    <xdr:to>
      <xdr:col>4</xdr:col>
      <xdr:colOff>609600</xdr:colOff>
      <xdr:row>17</xdr:row>
      <xdr:rowOff>38100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4825"/>
          <a:ext cx="29051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723900</xdr:colOff>
      <xdr:row>2</xdr:row>
      <xdr:rowOff>76200</xdr:rowOff>
    </xdr:from>
    <xdr:to>
      <xdr:col>8</xdr:col>
      <xdr:colOff>304800</xdr:colOff>
      <xdr:row>17</xdr:row>
      <xdr:rowOff>123825</xdr:rowOff>
    </xdr:to>
    <xdr:sp>
      <xdr:nvSpPr>
        <xdr:cNvPr id="2" name="Text 4"/>
        <xdr:cNvSpPr txBox="1">
          <a:spLocks noChangeArrowheads="1"/>
        </xdr:cNvSpPr>
      </xdr:nvSpPr>
      <xdr:spPr>
        <a:xfrm>
          <a:off x="3771900" y="400050"/>
          <a:ext cx="2628900" cy="24765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Achsen</a:t>
          </a:r>
          <a:r>
            <a:rPr lang="en-US" cap="none" sz="1000" b="0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umlaufende Achsen werden wechselnd [III] auf Biegung beansprucht; feststehende Achsen dagegen werden schwellend [II] auf Biegung beansprucht.</a:t>
          </a:r>
          <a:r>
            <a:rPr lang="en-US" cap="none" sz="1000" b="0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Wellen</a:t>
          </a:r>
          <a:r>
            <a:rPr lang="en-US" cap="none" sz="1000" b="0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Wellen werden meistens schwellend [II] auf Verdrehen und wechselnd [III] auf Biegung be-ansprucht.
Eine wechselnde Verdrehbeanspruchung bei gleichzeitiger wechselnder Beigebeanspru-chung ist die Ausnahme und wird hier nicht berücksichtigt.
Bei gleichzeitiger Verdreh- und Biegebeanspru-chung ist der Lastfall für Biegung maßgebend.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showGridLines="0" tabSelected="1" workbookViewId="0" topLeftCell="A1">
      <selection activeCell="G8" sqref="G8"/>
    </sheetView>
  </sheetViews>
  <sheetFormatPr defaultColWidth="11.421875" defaultRowHeight="12.75"/>
  <cols>
    <col min="1" max="1" width="12.7109375" style="0" customWidth="1"/>
    <col min="2" max="2" width="44.00390625" style="0" customWidth="1"/>
    <col min="3" max="3" width="9.57421875" style="0" customWidth="1"/>
    <col min="4" max="4" width="10.421875" style="0" customWidth="1"/>
    <col min="5" max="5" width="9.8515625" style="0" customWidth="1"/>
    <col min="6" max="6" width="10.421875" style="0" customWidth="1"/>
    <col min="7" max="7" width="9.7109375" style="0" customWidth="1"/>
    <col min="8" max="8" width="2.7109375" style="0" customWidth="1"/>
    <col min="9" max="9" width="35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7109375" style="0" customWidth="1"/>
    <col min="18" max="18" width="1.7109375" style="0" customWidth="1"/>
    <col min="19" max="16384" width="10.28125" style="0" customWidth="1"/>
  </cols>
  <sheetData>
    <row r="1" spans="1:7" ht="13.5" thickBot="1">
      <c r="A1" s="60"/>
      <c r="B1" s="60"/>
      <c r="C1" s="60"/>
      <c r="D1" s="60"/>
      <c r="E1" s="60"/>
      <c r="F1" s="60"/>
      <c r="G1" s="60"/>
    </row>
    <row r="2" spans="1:7" ht="12.75">
      <c r="A2" s="60"/>
      <c r="B2" s="135" t="s">
        <v>0</v>
      </c>
      <c r="C2" s="136" t="s">
        <v>121</v>
      </c>
      <c r="D2" s="136"/>
      <c r="E2" s="138" t="s">
        <v>1</v>
      </c>
      <c r="F2" s="119" t="s">
        <v>2</v>
      </c>
      <c r="G2" s="60"/>
    </row>
    <row r="3" spans="1:7" ht="13.5" thickBot="1">
      <c r="A3" s="60"/>
      <c r="B3" s="120" t="s">
        <v>3</v>
      </c>
      <c r="C3" s="137" t="s">
        <v>122</v>
      </c>
      <c r="D3" s="137"/>
      <c r="E3" s="139" t="s">
        <v>4</v>
      </c>
      <c r="F3" s="121">
        <f ca="1">NOW()</f>
        <v>37217.0412125</v>
      </c>
      <c r="G3" s="60"/>
    </row>
    <row r="4" spans="1:7" ht="13.5" thickBot="1">
      <c r="A4" s="60"/>
      <c r="B4" s="60"/>
      <c r="C4" s="60"/>
      <c r="D4" s="60"/>
      <c r="E4" s="60"/>
      <c r="F4" s="60"/>
      <c r="G4" s="60"/>
    </row>
    <row r="5" spans="1:7" ht="18.75" customHeight="1">
      <c r="A5" s="60"/>
      <c r="B5" s="148" t="s">
        <v>5</v>
      </c>
      <c r="C5" s="131" t="s">
        <v>6</v>
      </c>
      <c r="D5" s="122"/>
      <c r="E5" s="123" t="s">
        <v>7</v>
      </c>
      <c r="F5" s="124"/>
      <c r="G5" s="60"/>
    </row>
    <row r="6" spans="1:7" ht="12.75">
      <c r="A6" s="60"/>
      <c r="B6" s="149" t="s">
        <v>8</v>
      </c>
      <c r="C6" s="154" t="s">
        <v>9</v>
      </c>
      <c r="D6" s="125"/>
      <c r="E6" s="125"/>
      <c r="F6" s="126"/>
      <c r="G6" s="60"/>
    </row>
    <row r="7" spans="1:7" ht="12.75">
      <c r="A7" s="60"/>
      <c r="B7" s="150" t="s">
        <v>10</v>
      </c>
      <c r="C7" s="155" t="s">
        <v>7</v>
      </c>
      <c r="D7" s="127"/>
      <c r="E7" s="127"/>
      <c r="F7" s="128"/>
      <c r="G7" s="60"/>
    </row>
    <row r="8" spans="1:7" ht="12.75">
      <c r="A8" s="60"/>
      <c r="B8" s="151" t="s">
        <v>7</v>
      </c>
      <c r="C8" s="132" t="s">
        <v>7</v>
      </c>
      <c r="D8" s="125"/>
      <c r="E8" s="125"/>
      <c r="F8" s="126"/>
      <c r="G8" s="60"/>
    </row>
    <row r="9" spans="1:7" ht="12.75">
      <c r="A9" s="60"/>
      <c r="B9" s="151" t="s">
        <v>11</v>
      </c>
      <c r="C9" s="133" t="s">
        <v>7</v>
      </c>
      <c r="D9" s="127"/>
      <c r="E9" s="127"/>
      <c r="F9" s="128"/>
      <c r="G9" s="60"/>
    </row>
    <row r="10" spans="1:7" ht="12.75">
      <c r="A10" s="60"/>
      <c r="B10" s="152" t="s">
        <v>12</v>
      </c>
      <c r="C10" s="91"/>
      <c r="D10" s="127"/>
      <c r="E10" s="127"/>
      <c r="F10" s="128"/>
      <c r="G10" s="60"/>
    </row>
    <row r="11" spans="1:7" ht="13.5" thickBot="1">
      <c r="A11" s="60"/>
      <c r="B11" s="153" t="s">
        <v>13</v>
      </c>
      <c r="C11" s="134" t="s">
        <v>7</v>
      </c>
      <c r="D11" s="129"/>
      <c r="E11" s="129"/>
      <c r="F11" s="130"/>
      <c r="G11" s="60"/>
    </row>
    <row r="12" spans="1:7" ht="13.5" thickBot="1">
      <c r="A12" s="60"/>
      <c r="B12" s="108"/>
      <c r="C12" s="108"/>
      <c r="D12" s="108"/>
      <c r="E12" s="108"/>
      <c r="F12" s="108"/>
      <c r="G12" s="60"/>
    </row>
    <row r="13" spans="1:7" ht="17.25" customHeight="1" thickBot="1">
      <c r="A13" s="60"/>
      <c r="B13" s="113" t="s">
        <v>14</v>
      </c>
      <c r="C13" s="114" t="s">
        <v>15</v>
      </c>
      <c r="D13" s="115"/>
      <c r="E13" s="116" t="s">
        <v>16</v>
      </c>
      <c r="F13" s="117"/>
      <c r="G13" s="60"/>
    </row>
    <row r="14" spans="1:7" ht="19.5">
      <c r="A14" s="60"/>
      <c r="B14" s="4" t="s">
        <v>17</v>
      </c>
      <c r="C14" s="12">
        <v>500</v>
      </c>
      <c r="D14" s="3" t="s">
        <v>7</v>
      </c>
      <c r="E14" s="14">
        <v>500</v>
      </c>
      <c r="F14" s="10" t="s">
        <v>7</v>
      </c>
      <c r="G14" s="60"/>
    </row>
    <row r="15" spans="1:7" ht="12.75">
      <c r="A15" s="60"/>
      <c r="B15" s="4" t="s">
        <v>18</v>
      </c>
      <c r="C15" s="12">
        <v>1</v>
      </c>
      <c r="D15" s="21">
        <f>IF(C15&lt;1,"Fehler !",IF(C15&gt;2,"Fehler !",""))</f>
      </c>
      <c r="E15" s="1">
        <v>1</v>
      </c>
      <c r="F15" s="5">
        <f>IF(E15&lt;1,"Fehler !",IF(E15&gt;2,"Fehler !",""))</f>
      </c>
      <c r="G15" s="60"/>
    </row>
    <row r="16" spans="1:7" ht="12.75">
      <c r="A16" s="60"/>
      <c r="B16" s="4" t="s">
        <v>19</v>
      </c>
      <c r="C16" s="12">
        <v>1</v>
      </c>
      <c r="D16" s="21">
        <f>IF(C16&lt;1,"Fehler !",IF(C16&gt;2,"Fehler !",IF(C15=2,"entfällt","")))</f>
      </c>
      <c r="E16" s="14">
        <v>1</v>
      </c>
      <c r="F16" s="5">
        <f>IF(E16&lt;1,"Fehler !",IF(E16&gt;2,"Fehler !",IF(E15=2,"entfällt","")))</f>
      </c>
      <c r="G16" s="60"/>
    </row>
    <row r="17" spans="1:7" ht="19.5">
      <c r="A17" s="60"/>
      <c r="B17" s="4" t="s">
        <v>20</v>
      </c>
      <c r="C17" s="12">
        <v>750</v>
      </c>
      <c r="D17" s="21">
        <f>IF(C16=2,"entfällt",IF(C15=2,"entfällt",""))</f>
      </c>
      <c r="E17" s="14">
        <v>750</v>
      </c>
      <c r="F17" s="118">
        <f>IF(E16=2,"entfällt",IF(E15=2,"entfällt",""))</f>
      </c>
      <c r="G17" s="60"/>
    </row>
    <row r="18" spans="1:7" ht="19.5">
      <c r="A18" s="60"/>
      <c r="B18" s="61" t="s">
        <v>21</v>
      </c>
      <c r="C18" s="62">
        <v>1.2</v>
      </c>
      <c r="D18" s="63">
        <f>IF(C18&lt;1,"Fehler !",IF(C18&gt;2.5,"?",""))</f>
      </c>
      <c r="E18" s="64">
        <v>1.2</v>
      </c>
      <c r="F18" s="65">
        <f>IF(E18&lt;1,"Fehler !",IF(E18&gt;2.5,"?",""))</f>
      </c>
      <c r="G18" s="60"/>
    </row>
    <row r="19" spans="1:7" ht="12.75">
      <c r="A19" s="60"/>
      <c r="B19" s="4" t="s">
        <v>22</v>
      </c>
      <c r="C19" s="12">
        <v>2</v>
      </c>
      <c r="D19" s="21">
        <f>IF(C14=0,"entfällt",IF(C19=2,"",IF(C19=3,"","Fehler !")))</f>
      </c>
      <c r="E19" s="14">
        <v>2</v>
      </c>
      <c r="F19" s="5">
        <f>IF(E14=0,"entfällt",IF(E19=2,"",IF(E19=3,"","Fehler !")))</f>
      </c>
      <c r="G19" s="60"/>
    </row>
    <row r="20" spans="1:7" ht="13.5" thickBot="1">
      <c r="A20" s="60"/>
      <c r="B20" s="7" t="s">
        <v>23</v>
      </c>
      <c r="C20" s="13">
        <v>3</v>
      </c>
      <c r="D20" s="20">
        <f>IF(C15=1,IF(C20=2,"",IF(C20=3,"","Fehler !")),"entfällt")</f>
      </c>
      <c r="E20" s="2">
        <v>3</v>
      </c>
      <c r="F20" s="11">
        <f>IF(E15=1,IF(E20=2,"",IF(E20=3,"","Fehler !")),"entfällt")</f>
      </c>
      <c r="G20" s="60"/>
    </row>
    <row r="21" spans="1:7" ht="13.5" thickBot="1">
      <c r="A21" s="60"/>
      <c r="B21" s="60"/>
      <c r="C21" s="60"/>
      <c r="D21" s="60"/>
      <c r="E21" s="60"/>
      <c r="F21" s="60"/>
      <c r="G21" s="60"/>
    </row>
    <row r="22" spans="1:7" ht="12.75">
      <c r="A22" s="60"/>
      <c r="B22" s="17" t="s">
        <v>24</v>
      </c>
      <c r="C22" s="66" t="s">
        <v>7</v>
      </c>
      <c r="D22" s="18" t="s">
        <v>7</v>
      </c>
      <c r="E22" s="69" t="s">
        <v>7</v>
      </c>
      <c r="F22" s="19" t="s">
        <v>7</v>
      </c>
      <c r="G22" s="60"/>
    </row>
    <row r="23" spans="1:7" ht="12.75">
      <c r="A23" s="60"/>
      <c r="B23" s="107" t="s">
        <v>25</v>
      </c>
      <c r="C23" s="100">
        <v>1</v>
      </c>
      <c r="D23" s="101">
        <f>IF(C23&lt;1,"Fehler !",IF(C23&gt;3,"Fehler !",""))</f>
      </c>
      <c r="E23" s="102">
        <v>1</v>
      </c>
      <c r="F23" s="103">
        <f>IF(E23&lt;1,"Fehler !",IF(E23&gt;3,"Fehler !",""))</f>
      </c>
      <c r="G23" s="60"/>
    </row>
    <row r="24" spans="1:7" ht="19.5">
      <c r="A24" s="60"/>
      <c r="B24" s="4" t="s">
        <v>26</v>
      </c>
      <c r="C24" s="67">
        <v>470</v>
      </c>
      <c r="D24" s="16">
        <f>IF(C24&lt;340,"?",IF(C24&gt;1250,"?",""))</f>
      </c>
      <c r="E24" s="14">
        <v>470</v>
      </c>
      <c r="F24" s="6">
        <f>IF(E24&lt;340,"?",IF(E24&gt;1250,"?",""))</f>
      </c>
      <c r="G24" s="60"/>
    </row>
    <row r="25" spans="1:7" ht="20.25" thickBot="1">
      <c r="A25" s="60"/>
      <c r="B25" s="7" t="s">
        <v>27</v>
      </c>
      <c r="C25" s="68">
        <v>295</v>
      </c>
      <c r="D25" s="8">
        <f>IF(C25&lt;230,"?",IF(C25&gt;1050,"?",""))</f>
      </c>
      <c r="E25" s="2">
        <v>295</v>
      </c>
      <c r="F25" s="9">
        <f>IF(E25&lt;230,"?",IF(E25&gt;1050,"?",""))</f>
      </c>
      <c r="G25" s="60"/>
    </row>
    <row r="26" spans="1:7" ht="13.5" thickBot="1">
      <c r="A26" s="60"/>
      <c r="B26" s="60"/>
      <c r="C26" s="60"/>
      <c r="D26" s="60"/>
      <c r="E26" s="60"/>
      <c r="F26" s="60"/>
      <c r="G26" s="60"/>
    </row>
    <row r="27" spans="1:7" ht="20.25" thickBot="1">
      <c r="A27" s="60"/>
      <c r="B27" s="106" t="s">
        <v>28</v>
      </c>
      <c r="C27" s="72">
        <v>0</v>
      </c>
      <c r="D27" s="70">
        <f>IF(C27&lt;0,"Fehler !",IF(C27&gt;0.9,"unsinnig !",""))</f>
      </c>
      <c r="E27" s="73">
        <v>0</v>
      </c>
      <c r="F27" s="71">
        <f>IF(E27&lt;0,"Fehler !",IF(E27&gt;0.9,"unsinnig !",""))</f>
      </c>
      <c r="G27" s="60"/>
    </row>
    <row r="28" spans="1:7" ht="13.5" thickBot="1">
      <c r="A28" s="60"/>
      <c r="B28" s="60"/>
      <c r="C28" s="60"/>
      <c r="D28" s="60"/>
      <c r="E28" s="60"/>
      <c r="F28" s="60"/>
      <c r="G28" s="60"/>
    </row>
    <row r="29" spans="1:7" ht="12.75">
      <c r="A29" s="60"/>
      <c r="B29" s="74" t="s">
        <v>29</v>
      </c>
      <c r="C29" s="75"/>
      <c r="D29" s="75"/>
      <c r="E29" s="75"/>
      <c r="F29" s="76"/>
      <c r="G29" s="60"/>
    </row>
    <row r="30" spans="1:7" ht="16.5">
      <c r="A30" s="60"/>
      <c r="B30" s="77" t="s">
        <v>30</v>
      </c>
      <c r="C30" s="78"/>
      <c r="D30" s="78"/>
      <c r="E30" s="78"/>
      <c r="F30" s="79"/>
      <c r="G30" s="60"/>
    </row>
    <row r="31" spans="1:7" ht="13.5" thickBot="1">
      <c r="A31" s="60"/>
      <c r="B31" s="80" t="s">
        <v>31</v>
      </c>
      <c r="C31" s="81"/>
      <c r="D31" s="81"/>
      <c r="E31" s="81"/>
      <c r="F31" s="82"/>
      <c r="G31" s="60"/>
    </row>
    <row r="32" spans="1:7" ht="19.5">
      <c r="A32" s="60"/>
      <c r="B32" s="141" t="s">
        <v>32</v>
      </c>
      <c r="C32" s="146">
        <f>C160</f>
        <v>56.15782000350383</v>
      </c>
      <c r="D32" s="142" t="s">
        <v>33</v>
      </c>
      <c r="E32" s="146">
        <f>D160</f>
        <v>56.15782000350383</v>
      </c>
      <c r="F32" s="143" t="s">
        <v>33</v>
      </c>
      <c r="G32" s="60"/>
    </row>
    <row r="33" spans="1:7" ht="20.25" thickBot="1">
      <c r="A33" s="60"/>
      <c r="B33" s="140" t="s">
        <v>34</v>
      </c>
      <c r="C33" s="147">
        <f>C27*C32</f>
        <v>0</v>
      </c>
      <c r="D33" s="144" t="s">
        <v>33</v>
      </c>
      <c r="E33" s="147">
        <f>E27*E32</f>
        <v>0</v>
      </c>
      <c r="F33" s="145" t="s">
        <v>33</v>
      </c>
      <c r="G33" s="60"/>
    </row>
    <row r="34" spans="1:7" ht="12.75">
      <c r="A34" s="60"/>
      <c r="B34" s="60"/>
      <c r="C34" s="60"/>
      <c r="D34" s="60"/>
      <c r="E34" s="60"/>
      <c r="F34" s="60"/>
      <c r="G34" s="60"/>
    </row>
    <row r="35" spans="1:7" ht="12.75">
      <c r="A35" s="60"/>
      <c r="B35" s="60"/>
      <c r="C35" s="60"/>
      <c r="D35" s="60"/>
      <c r="E35" s="60"/>
      <c r="F35" s="60"/>
      <c r="G35" s="60"/>
    </row>
    <row r="36" spans="1:7" ht="12.75">
      <c r="A36" s="60"/>
      <c r="B36" s="60"/>
      <c r="C36" s="60"/>
      <c r="D36" s="60"/>
      <c r="E36" s="60"/>
      <c r="F36" s="60"/>
      <c r="G36" s="60"/>
    </row>
    <row r="37" spans="1:7" ht="12.75">
      <c r="A37" s="60"/>
      <c r="B37" s="60"/>
      <c r="C37" s="60"/>
      <c r="D37" s="60"/>
      <c r="E37" s="60"/>
      <c r="F37" s="60"/>
      <c r="G37" s="60"/>
    </row>
    <row r="38" spans="1:7" ht="12.75">
      <c r="A38" s="60"/>
      <c r="B38" s="60"/>
      <c r="C38" s="60"/>
      <c r="D38" s="60"/>
      <c r="E38" s="60"/>
      <c r="F38" s="60"/>
      <c r="G38" s="60"/>
    </row>
    <row r="39" spans="1:7" ht="12.75">
      <c r="A39" s="60"/>
      <c r="B39" s="60"/>
      <c r="C39" s="60"/>
      <c r="D39" s="60"/>
      <c r="E39" s="60"/>
      <c r="F39" s="60"/>
      <c r="G39" s="60"/>
    </row>
    <row r="40" spans="1:7" ht="12.75">
      <c r="A40" s="60"/>
      <c r="B40" s="60"/>
      <c r="C40" s="60"/>
      <c r="D40" s="60"/>
      <c r="E40" s="60"/>
      <c r="F40" s="60"/>
      <c r="G40" s="60"/>
    </row>
    <row r="41" spans="1:7" ht="12.75">
      <c r="A41" s="60"/>
      <c r="B41" s="60"/>
      <c r="C41" s="60"/>
      <c r="D41" s="60"/>
      <c r="E41" s="60"/>
      <c r="F41" s="60"/>
      <c r="G41" s="60"/>
    </row>
    <row r="42" spans="1:7" ht="12.75">
      <c r="A42" s="60"/>
      <c r="B42" s="60"/>
      <c r="C42" s="60"/>
      <c r="D42" s="60"/>
      <c r="E42" s="60"/>
      <c r="F42" s="60"/>
      <c r="G42" s="60"/>
    </row>
    <row r="43" spans="1:7" ht="12.75">
      <c r="A43" s="60"/>
      <c r="B43" s="60"/>
      <c r="C43" s="60"/>
      <c r="D43" s="60"/>
      <c r="E43" s="60"/>
      <c r="F43" s="60"/>
      <c r="G43" s="60"/>
    </row>
    <row r="44" spans="1:7" ht="12.75">
      <c r="A44" s="60"/>
      <c r="B44" s="60"/>
      <c r="C44" s="60"/>
      <c r="D44" s="60"/>
      <c r="E44" s="60"/>
      <c r="F44" s="60"/>
      <c r="G44" s="60"/>
    </row>
    <row r="45" spans="1:7" ht="12.75">
      <c r="A45" s="60"/>
      <c r="B45" s="60"/>
      <c r="C45" s="60"/>
      <c r="D45" s="60"/>
      <c r="E45" s="60"/>
      <c r="F45" s="60"/>
      <c r="G45" s="60"/>
    </row>
    <row r="46" spans="1:7" ht="12.75">
      <c r="A46" s="60"/>
      <c r="B46" s="60"/>
      <c r="C46" s="60"/>
      <c r="D46" s="60"/>
      <c r="E46" s="60"/>
      <c r="F46" s="60"/>
      <c r="G46" s="60"/>
    </row>
    <row r="47" spans="1:7" ht="12.75">
      <c r="A47" s="60"/>
      <c r="B47" s="60"/>
      <c r="C47" s="60"/>
      <c r="D47" s="60"/>
      <c r="E47" s="60"/>
      <c r="F47" s="60"/>
      <c r="G47" s="60"/>
    </row>
    <row r="48" spans="1:7" ht="12.75">
      <c r="A48" s="60"/>
      <c r="B48" s="60"/>
      <c r="C48" s="60"/>
      <c r="D48" s="60"/>
      <c r="E48" s="60"/>
      <c r="F48" s="60"/>
      <c r="G48" s="60"/>
    </row>
    <row r="49" spans="1:7" ht="12.75">
      <c r="A49" s="60"/>
      <c r="B49" s="60"/>
      <c r="C49" s="60"/>
      <c r="D49" s="60"/>
      <c r="E49" s="60"/>
      <c r="F49" s="60"/>
      <c r="G49" s="60"/>
    </row>
    <row r="50" spans="1:7" ht="12.75">
      <c r="A50" s="60"/>
      <c r="B50" s="60"/>
      <c r="C50" s="60"/>
      <c r="D50" s="60"/>
      <c r="E50" s="60"/>
      <c r="F50" s="60"/>
      <c r="G50" s="60"/>
    </row>
    <row r="51" spans="1:7" ht="12.75">
      <c r="A51" s="60"/>
      <c r="B51" s="60"/>
      <c r="C51" s="60"/>
      <c r="D51" s="60"/>
      <c r="E51" s="60"/>
      <c r="F51" s="60"/>
      <c r="G51" s="60"/>
    </row>
    <row r="52" spans="1:7" ht="12.75">
      <c r="A52" s="59"/>
      <c r="B52" s="60"/>
      <c r="C52" s="60"/>
      <c r="D52" s="60"/>
      <c r="E52" s="60"/>
      <c r="F52" s="60"/>
      <c r="G52" s="59"/>
    </row>
    <row r="53" spans="1:7" ht="12.75">
      <c r="A53" s="59"/>
      <c r="B53" s="60"/>
      <c r="C53" s="60"/>
      <c r="D53" s="60"/>
      <c r="E53" s="60"/>
      <c r="F53" s="60"/>
      <c r="G53" s="59"/>
    </row>
    <row r="54" spans="1:7" ht="12.75">
      <c r="A54" s="59"/>
      <c r="B54" s="60"/>
      <c r="C54" s="60"/>
      <c r="D54" s="60"/>
      <c r="E54" s="60"/>
      <c r="F54" s="60"/>
      <c r="G54" s="59"/>
    </row>
    <row r="55" spans="1:7" ht="12.75">
      <c r="A55" s="59"/>
      <c r="B55" s="60"/>
      <c r="C55" s="60"/>
      <c r="D55" s="60"/>
      <c r="E55" s="60"/>
      <c r="F55" s="60"/>
      <c r="G55" s="59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3.5" thickBot="1">
      <c r="A97" s="60"/>
      <c r="B97" s="60"/>
      <c r="C97" s="60"/>
      <c r="D97" s="60"/>
      <c r="E97" s="60"/>
      <c r="F97" s="60"/>
      <c r="G97" s="60"/>
    </row>
    <row r="98" spans="1:7" ht="12.75">
      <c r="A98" s="60"/>
      <c r="B98" s="156" t="s">
        <v>35</v>
      </c>
      <c r="C98" s="199" t="str">
        <f>C2</f>
        <v>Christian</v>
      </c>
      <c r="D98" s="189"/>
      <c r="E98" s="200" t="s">
        <v>1</v>
      </c>
      <c r="F98" s="157" t="str">
        <f>F2</f>
        <v>QWL-01L</v>
      </c>
      <c r="G98" s="60"/>
    </row>
    <row r="99" spans="1:7" ht="13.5" thickBot="1">
      <c r="A99" s="60"/>
      <c r="B99" s="158" t="s">
        <v>36</v>
      </c>
      <c r="C99" s="201" t="str">
        <f>C3</f>
        <v>Mendera</v>
      </c>
      <c r="D99" s="198"/>
      <c r="E99" s="202" t="s">
        <v>4</v>
      </c>
      <c r="F99" s="159">
        <f>F3</f>
        <v>37217.0412125</v>
      </c>
      <c r="G99" s="60"/>
    </row>
    <row r="100" spans="1:7" ht="13.5" thickBot="1">
      <c r="A100" s="60"/>
      <c r="B100" s="60"/>
      <c r="C100" s="60"/>
      <c r="D100" s="60"/>
      <c r="E100" s="60"/>
      <c r="F100" s="60"/>
      <c r="G100" s="60"/>
    </row>
    <row r="101" spans="1:7" ht="12.75">
      <c r="A101" s="60"/>
      <c r="B101" s="161"/>
      <c r="C101" s="162"/>
      <c r="D101" s="162"/>
      <c r="E101" s="162"/>
      <c r="F101" s="163"/>
      <c r="G101" s="60"/>
    </row>
    <row r="102" spans="1:7" ht="15.75">
      <c r="A102" s="60"/>
      <c r="B102" s="164" t="s">
        <v>37</v>
      </c>
      <c r="C102" s="165"/>
      <c r="D102" s="165"/>
      <c r="E102" s="165"/>
      <c r="F102" s="166"/>
      <c r="G102" s="60"/>
    </row>
    <row r="103" spans="1:7" ht="12.75">
      <c r="A103" s="60"/>
      <c r="B103" s="167" t="s">
        <v>38</v>
      </c>
      <c r="C103" s="165"/>
      <c r="D103" s="165"/>
      <c r="E103" s="165"/>
      <c r="F103" s="166"/>
      <c r="G103" s="60"/>
    </row>
    <row r="104" spans="1:7" ht="12.75">
      <c r="A104" s="60"/>
      <c r="B104" s="167" t="s">
        <v>39</v>
      </c>
      <c r="C104" s="165"/>
      <c r="D104" s="165"/>
      <c r="E104" s="165"/>
      <c r="F104" s="166"/>
      <c r="G104" s="60"/>
    </row>
    <row r="105" spans="1:7" ht="12.75">
      <c r="A105" s="60"/>
      <c r="B105" s="167" t="s">
        <v>40</v>
      </c>
      <c r="C105" s="165"/>
      <c r="D105" s="165"/>
      <c r="E105" s="165"/>
      <c r="F105" s="166"/>
      <c r="G105" s="60"/>
    </row>
    <row r="106" spans="1:7" ht="12.75">
      <c r="A106" s="60"/>
      <c r="B106" s="167" t="s">
        <v>41</v>
      </c>
      <c r="C106" s="165"/>
      <c r="D106" s="165"/>
      <c r="E106" s="165"/>
      <c r="F106" s="166"/>
      <c r="G106" s="60"/>
    </row>
    <row r="107" spans="1:7" ht="12.75">
      <c r="A107" s="60"/>
      <c r="B107" s="167" t="s">
        <v>42</v>
      </c>
      <c r="C107" s="165"/>
      <c r="D107" s="165"/>
      <c r="E107" s="165"/>
      <c r="F107" s="166"/>
      <c r="G107" s="60"/>
    </row>
    <row r="108" spans="1:7" ht="13.5" thickBot="1">
      <c r="A108" s="60"/>
      <c r="B108" s="7"/>
      <c r="C108" s="108"/>
      <c r="D108" s="108"/>
      <c r="E108" s="108"/>
      <c r="F108" s="168"/>
      <c r="G108" s="60"/>
    </row>
    <row r="109" spans="1:7" ht="12.75">
      <c r="A109" s="60"/>
      <c r="B109" s="161"/>
      <c r="C109" s="169"/>
      <c r="D109" s="170"/>
      <c r="E109" s="162"/>
      <c r="F109" s="163"/>
      <c r="G109" s="60"/>
    </row>
    <row r="110" spans="1:7" ht="13.5" thickBot="1">
      <c r="A110" s="60"/>
      <c r="B110" s="171" t="s">
        <v>7</v>
      </c>
      <c r="C110" s="172" t="str">
        <f>C13</f>
        <v>           Variante A</v>
      </c>
      <c r="D110" s="173"/>
      <c r="E110" s="174" t="str">
        <f>E13</f>
        <v>          Variante B</v>
      </c>
      <c r="F110" s="175"/>
      <c r="G110" s="60"/>
    </row>
    <row r="111" spans="1:7" ht="12.75">
      <c r="A111" s="60"/>
      <c r="B111" s="176" t="s">
        <v>43</v>
      </c>
      <c r="C111" s="169"/>
      <c r="D111" s="170"/>
      <c r="E111" s="162"/>
      <c r="F111" s="163"/>
      <c r="G111" s="60"/>
    </row>
    <row r="112" spans="1:7" ht="19.5">
      <c r="A112" s="60"/>
      <c r="B112" s="177" t="s">
        <v>44</v>
      </c>
      <c r="C112" s="55">
        <f>C14</f>
        <v>500</v>
      </c>
      <c r="D112" s="56" t="s">
        <v>45</v>
      </c>
      <c r="E112" s="15">
        <f>E14</f>
        <v>500</v>
      </c>
      <c r="F112" s="178" t="s">
        <v>45</v>
      </c>
      <c r="G112" s="60"/>
    </row>
    <row r="113" spans="1:7" ht="12.75">
      <c r="A113" s="60"/>
      <c r="B113" s="179" t="s">
        <v>46</v>
      </c>
      <c r="C113" s="57" t="str">
        <f>IF(+C19=2,"schwellend",IF(C19=3,"wechselnd",""))</f>
        <v>schwellend</v>
      </c>
      <c r="D113" s="56" t="s">
        <v>47</v>
      </c>
      <c r="E113" s="180" t="str">
        <f>IF(+E19=2,"schwellend",IF(E19=3,"wechselnd",""))</f>
        <v>schwellend</v>
      </c>
      <c r="F113" s="178" t="s">
        <v>47</v>
      </c>
      <c r="G113" s="60"/>
    </row>
    <row r="114" spans="1:7" ht="19.5">
      <c r="A114" s="60"/>
      <c r="B114" s="177" t="s">
        <v>48</v>
      </c>
      <c r="C114" s="55">
        <f>C17</f>
        <v>750</v>
      </c>
      <c r="D114" s="56" t="s">
        <v>45</v>
      </c>
      <c r="E114" s="15">
        <f>E17</f>
        <v>750</v>
      </c>
      <c r="F114" s="178" t="s">
        <v>45</v>
      </c>
      <c r="G114" s="60"/>
    </row>
    <row r="115" spans="1:7" ht="12.75">
      <c r="A115" s="60"/>
      <c r="B115" s="179" t="s">
        <v>46</v>
      </c>
      <c r="C115" s="55" t="str">
        <f>IF(+C20=2,"schwellend",IF(C20=3,"wechselnd",""))</f>
        <v>wechselnd</v>
      </c>
      <c r="D115" s="56" t="s">
        <v>47</v>
      </c>
      <c r="E115" s="15" t="str">
        <f>IF(+E20=2,"schwellend",IF(E20=3,"wechselnd",""))</f>
        <v>wechselnd</v>
      </c>
      <c r="F115" s="178" t="s">
        <v>47</v>
      </c>
      <c r="G115" s="60"/>
    </row>
    <row r="116" spans="1:7" ht="19.5">
      <c r="A116" s="60"/>
      <c r="B116" s="177" t="s">
        <v>49</v>
      </c>
      <c r="C116" s="55">
        <f>C18</f>
        <v>1.2</v>
      </c>
      <c r="D116" s="56" t="s">
        <v>47</v>
      </c>
      <c r="E116" s="15">
        <f>E18</f>
        <v>1.2</v>
      </c>
      <c r="F116" s="178" t="s">
        <v>47</v>
      </c>
      <c r="G116" s="60"/>
    </row>
    <row r="117" spans="1:7" ht="19.5">
      <c r="A117" s="60"/>
      <c r="B117" s="181" t="s">
        <v>50</v>
      </c>
      <c r="C117" s="46">
        <f>C180</f>
        <v>970.7213812418061</v>
      </c>
      <c r="D117" s="47" t="s">
        <v>45</v>
      </c>
      <c r="E117" s="48">
        <f>D180</f>
        <v>970.7213812418061</v>
      </c>
      <c r="F117" s="182" t="s">
        <v>45</v>
      </c>
      <c r="G117" s="60"/>
    </row>
    <row r="118" spans="1:7" ht="12.75">
      <c r="A118" s="60"/>
      <c r="B118" s="183" t="s">
        <v>51</v>
      </c>
      <c r="C118" s="55"/>
      <c r="D118" s="56"/>
      <c r="E118" s="15"/>
      <c r="F118" s="178"/>
      <c r="G118" s="60"/>
    </row>
    <row r="119" spans="1:7" ht="12.75">
      <c r="A119" s="60"/>
      <c r="B119" s="177" t="s">
        <v>52</v>
      </c>
      <c r="C119" s="49" t="str">
        <f>IF(+C23=1,"Baustahl",IF(C23=2,"Vergütungsstahl",IF(C23=3,"Einsatzstahl","")))</f>
        <v>Baustahl</v>
      </c>
      <c r="D119" s="50"/>
      <c r="E119" s="165" t="str">
        <f>IF(+E23=1,"Baustahl",IF(E23=2,"Vergütungsstahl",IF(E23=3,"Einsatzstahl","")))</f>
        <v>Baustahl</v>
      </c>
      <c r="F119" s="166"/>
      <c r="G119" s="60"/>
    </row>
    <row r="120" spans="1:7" ht="19.5">
      <c r="A120" s="60"/>
      <c r="B120" s="184" t="s">
        <v>53</v>
      </c>
      <c r="C120" s="55">
        <f>C24</f>
        <v>470</v>
      </c>
      <c r="D120" s="56" t="s">
        <v>54</v>
      </c>
      <c r="E120" s="15">
        <f>E24</f>
        <v>470</v>
      </c>
      <c r="F120" s="178" t="s">
        <v>54</v>
      </c>
      <c r="G120" s="60"/>
    </row>
    <row r="121" spans="1:7" ht="20.25" thickBot="1">
      <c r="A121" s="60"/>
      <c r="B121" s="194" t="s">
        <v>55</v>
      </c>
      <c r="C121" s="195">
        <f>C25</f>
        <v>295</v>
      </c>
      <c r="D121" s="196" t="s">
        <v>54</v>
      </c>
      <c r="E121" s="108">
        <f>E25</f>
        <v>295</v>
      </c>
      <c r="F121" s="168" t="s">
        <v>54</v>
      </c>
      <c r="G121" s="60"/>
    </row>
    <row r="122" spans="1:7" ht="13.5" thickBot="1">
      <c r="A122" s="60"/>
      <c r="B122" s="193"/>
      <c r="C122" s="15"/>
      <c r="D122" s="15"/>
      <c r="E122" s="15"/>
      <c r="F122" s="15"/>
      <c r="G122" s="60"/>
    </row>
    <row r="123" spans="1:7" ht="13.5" thickBot="1">
      <c r="A123" s="60"/>
      <c r="B123" s="190" t="s">
        <v>56</v>
      </c>
      <c r="C123" s="191"/>
      <c r="D123" s="191"/>
      <c r="E123" s="191"/>
      <c r="F123" s="192"/>
      <c r="G123" s="60"/>
    </row>
    <row r="124" spans="1:7" ht="19.5">
      <c r="A124" s="60"/>
      <c r="B124" s="161" t="s">
        <v>57</v>
      </c>
      <c r="C124" s="169">
        <f>C27</f>
        <v>0</v>
      </c>
      <c r="D124" s="162" t="s">
        <v>47</v>
      </c>
      <c r="E124" s="169">
        <f>E27</f>
        <v>0</v>
      </c>
      <c r="F124" s="163" t="s">
        <v>47</v>
      </c>
      <c r="G124" s="60"/>
    </row>
    <row r="125" spans="1:7" ht="12.75">
      <c r="A125" s="60"/>
      <c r="B125" s="167" t="s">
        <v>58</v>
      </c>
      <c r="C125" s="185"/>
      <c r="D125" s="185"/>
      <c r="E125" s="185"/>
      <c r="F125" s="186"/>
      <c r="G125" s="60"/>
    </row>
    <row r="126" spans="1:7" ht="19.5">
      <c r="A126" s="60"/>
      <c r="B126" s="4" t="s">
        <v>59</v>
      </c>
      <c r="C126" s="35">
        <f>ROUND((+C32+0.5),0)</f>
        <v>57</v>
      </c>
      <c r="D126" s="187" t="s">
        <v>33</v>
      </c>
      <c r="E126" s="35">
        <f>ROUND((+E32+0.5),0)</f>
        <v>57</v>
      </c>
      <c r="F126" s="188" t="s">
        <v>33</v>
      </c>
      <c r="G126" s="60"/>
    </row>
    <row r="127" spans="1:7" ht="19.5">
      <c r="A127" s="60"/>
      <c r="B127" s="4" t="s">
        <v>60</v>
      </c>
      <c r="C127" s="35">
        <f>+C33</f>
        <v>0</v>
      </c>
      <c r="D127" s="187" t="s">
        <v>33</v>
      </c>
      <c r="E127" s="35">
        <f>E33</f>
        <v>0</v>
      </c>
      <c r="F127" s="188" t="s">
        <v>33</v>
      </c>
      <c r="G127" s="60"/>
    </row>
    <row r="128" spans="1:7" ht="13.5" thickBot="1">
      <c r="A128" s="60"/>
      <c r="B128" s="197" t="s">
        <v>61</v>
      </c>
      <c r="C128" s="198"/>
      <c r="D128" s="198"/>
      <c r="E128" s="198"/>
      <c r="F128" s="160"/>
      <c r="G128" s="60"/>
    </row>
    <row r="129" spans="1:7" ht="12.75">
      <c r="A129" s="60"/>
      <c r="B129" s="60"/>
      <c r="C129" s="60"/>
      <c r="D129" s="60"/>
      <c r="E129" s="60"/>
      <c r="F129" s="60"/>
      <c r="G129" s="60"/>
    </row>
    <row r="130" spans="1:7" ht="12.75">
      <c r="A130" s="60"/>
      <c r="B130" s="60"/>
      <c r="C130" s="60"/>
      <c r="D130" s="60"/>
      <c r="E130" s="60"/>
      <c r="F130" s="60"/>
      <c r="G130" s="60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104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60"/>
      <c r="B147" s="60"/>
      <c r="C147" s="60"/>
      <c r="D147" s="60"/>
      <c r="E147" s="60"/>
      <c r="F147" s="59"/>
      <c r="G147" s="59"/>
    </row>
    <row r="148" spans="1:7" ht="12.75">
      <c r="A148" s="60"/>
      <c r="B148" s="36"/>
      <c r="C148" s="37"/>
      <c r="D148" s="38"/>
      <c r="E148" s="60"/>
      <c r="F148" s="59"/>
      <c r="G148" s="59"/>
    </row>
    <row r="149" spans="1:7" ht="15.75">
      <c r="A149" s="60"/>
      <c r="B149" s="39" t="s">
        <v>62</v>
      </c>
      <c r="C149" s="60"/>
      <c r="D149" s="56"/>
      <c r="E149" s="60"/>
      <c r="F149" s="59"/>
      <c r="G149" s="59"/>
    </row>
    <row r="150" spans="1:7" ht="12.75">
      <c r="A150" s="60"/>
      <c r="B150" s="51"/>
      <c r="C150" s="53"/>
      <c r="D150" s="52"/>
      <c r="E150" s="60"/>
      <c r="F150" s="59"/>
      <c r="G150" s="59"/>
    </row>
    <row r="151" spans="1:7" ht="12.75">
      <c r="A151" s="60"/>
      <c r="B151" s="40"/>
      <c r="C151" s="41" t="s">
        <v>63</v>
      </c>
      <c r="D151" s="42" t="s">
        <v>64</v>
      </c>
      <c r="E151" s="60"/>
      <c r="F151" s="59"/>
      <c r="G151" s="59"/>
    </row>
    <row r="152" spans="1:7" ht="12.75">
      <c r="A152" s="60"/>
      <c r="B152" s="54" t="s">
        <v>65</v>
      </c>
      <c r="C152" s="58" t="s">
        <v>7</v>
      </c>
      <c r="D152" s="43" t="s">
        <v>7</v>
      </c>
      <c r="E152" s="60"/>
      <c r="F152" s="59"/>
      <c r="G152" s="59"/>
    </row>
    <row r="153" spans="1:7" ht="12.75">
      <c r="A153" s="60"/>
      <c r="B153" s="44" t="s">
        <v>66</v>
      </c>
      <c r="C153" s="45">
        <f>C175</f>
        <v>413.00000000000006</v>
      </c>
      <c r="D153" s="22">
        <f>D175</f>
        <v>413.00000000000006</v>
      </c>
      <c r="E153" s="60"/>
      <c r="F153" s="59"/>
      <c r="G153" s="59"/>
    </row>
    <row r="154" spans="1:7" ht="12.75">
      <c r="A154" s="60"/>
      <c r="B154" s="44" t="s">
        <v>67</v>
      </c>
      <c r="C154" s="45">
        <f>(IF(C177&lt;=C175,C177,C175))</f>
        <v>353</v>
      </c>
      <c r="D154" s="22">
        <f>(IF(D177&lt;=D175,D177,D175))</f>
        <v>353</v>
      </c>
      <c r="E154" s="60"/>
      <c r="F154" s="59"/>
      <c r="G154" s="59"/>
    </row>
    <row r="155" spans="1:7" ht="12.75">
      <c r="A155" s="60"/>
      <c r="B155" s="44" t="s">
        <v>68</v>
      </c>
      <c r="C155" s="45">
        <f>(IF(C176&lt;=C175,C176,C175))</f>
        <v>235.00007833335945</v>
      </c>
      <c r="D155" s="22">
        <f>(IF(D176&lt;=D175,D176,D175))</f>
        <v>235.00007833335945</v>
      </c>
      <c r="E155" s="60"/>
      <c r="F155" s="59"/>
      <c r="G155" s="59"/>
    </row>
    <row r="156" spans="1:7" ht="12.75">
      <c r="A156" s="60"/>
      <c r="B156" s="23" t="s">
        <v>69</v>
      </c>
      <c r="C156" s="24">
        <f>IF(C164=0,C154,IF(C164=-0.9999,C155,#VALUE!))</f>
        <v>235.00007833335945</v>
      </c>
      <c r="D156" s="25">
        <f>IF(D164=0,D154,IF(D164=-0.9999,D155,#VALUE!))</f>
        <v>235.00007833335945</v>
      </c>
      <c r="E156" s="60"/>
      <c r="F156" s="59"/>
      <c r="G156" s="59"/>
    </row>
    <row r="157" spans="1:7" ht="12.75">
      <c r="A157" s="60"/>
      <c r="B157" s="44" t="s">
        <v>70</v>
      </c>
      <c r="C157" s="26">
        <f>2.7*(C14*C18*1000/((1-C27^4)*C156))^(1/3)</f>
        <v>36.90270305612874</v>
      </c>
      <c r="D157" s="27">
        <f>2.7*(E14*E18*1000/((1-E27^4)*D156))^(1/3)</f>
        <v>36.90270305612874</v>
      </c>
      <c r="E157" s="60"/>
      <c r="F157" s="59"/>
      <c r="G157" s="59"/>
    </row>
    <row r="158" spans="1:7" ht="12.75">
      <c r="A158" s="60"/>
      <c r="B158" s="44" t="s">
        <v>71</v>
      </c>
      <c r="C158" s="26">
        <f>4*(C14*C18*1000/((1-C27^4)*C156))^(1/3)</f>
        <v>54.6706711942648</v>
      </c>
      <c r="D158" s="27">
        <f>4*(E14*E18*1000/((1-E27^4)*D156))^(1/3)</f>
        <v>54.6706711942648</v>
      </c>
      <c r="E158" s="60"/>
      <c r="F158" s="59"/>
      <c r="G158" s="59"/>
    </row>
    <row r="159" spans="1:7" ht="12.75">
      <c r="A159" s="60"/>
      <c r="B159" s="44" t="s">
        <v>72</v>
      </c>
      <c r="C159" s="26">
        <f>3.5*(C180*1000/((1-C27^4)*C156))^(1/3)</f>
        <v>56.15782000350383</v>
      </c>
      <c r="D159" s="27">
        <f>3.5*(D180*1000/((1-E27^4)*D156))^(1/3)</f>
        <v>56.15782000350383</v>
      </c>
      <c r="E159" s="60"/>
      <c r="F159" s="59"/>
      <c r="G159" s="59"/>
    </row>
    <row r="160" spans="1:7" ht="12.75">
      <c r="A160" s="60"/>
      <c r="B160" s="23" t="s">
        <v>73</v>
      </c>
      <c r="C160" s="28">
        <f>IF(C15=2,C157,IF(C15=1,IF(C16=1,C159,IF(C16=2,C158,#VALUE!)),"Fehler!"))</f>
        <v>56.15782000350383</v>
      </c>
      <c r="D160" s="29">
        <f>IF(E15=2,D157,IF(E15=1,IF(E16=1,D159,IF(E16=2,D158,#VALUE!)),"Fehler!"))</f>
        <v>56.15782000350383</v>
      </c>
      <c r="E160" s="60"/>
      <c r="F160" s="59"/>
      <c r="G160" s="59"/>
    </row>
    <row r="161" spans="1:7" ht="12.75">
      <c r="A161" s="60"/>
      <c r="B161" s="23" t="s">
        <v>74</v>
      </c>
      <c r="C161" s="53" t="s">
        <v>7</v>
      </c>
      <c r="D161" s="52" t="s">
        <v>7</v>
      </c>
      <c r="E161" s="60"/>
      <c r="F161" s="59"/>
      <c r="G161" s="59"/>
    </row>
    <row r="162" spans="1:7" ht="12.75">
      <c r="A162" s="60"/>
      <c r="B162" s="44" t="s">
        <v>75</v>
      </c>
      <c r="C162" s="30">
        <f>C178</f>
        <v>2</v>
      </c>
      <c r="D162" s="56">
        <f>D178</f>
        <v>2</v>
      </c>
      <c r="E162" s="60"/>
      <c r="F162" s="59"/>
      <c r="G162" s="59"/>
    </row>
    <row r="163" spans="1:7" ht="12.75">
      <c r="A163" s="60"/>
      <c r="B163" s="44" t="s">
        <v>76</v>
      </c>
      <c r="C163" s="30">
        <f>IF(C162=2,C20,IF(C162=3,C19,#VALUE!))</f>
        <v>3</v>
      </c>
      <c r="D163" s="56">
        <f>IF(D162=2,E20,IF(D162=3,E19,#VALUE!))</f>
        <v>3</v>
      </c>
      <c r="E163" s="60"/>
      <c r="F163" s="59"/>
      <c r="G163" s="59"/>
    </row>
    <row r="164" spans="1:7" ht="12.75">
      <c r="A164" s="60"/>
      <c r="B164" s="23" t="s">
        <v>77</v>
      </c>
      <c r="C164" s="31">
        <f>IF(C163=3,-0.9999,IF(C163=2,0,#VALUE!))</f>
        <v>-0.9999</v>
      </c>
      <c r="D164" s="52">
        <f>IF(D163=3,-0.9999,IF(D163=2,0,#VALUE!))</f>
        <v>-0.9999</v>
      </c>
      <c r="E164" s="60"/>
      <c r="F164" s="59"/>
      <c r="G164" s="59"/>
    </row>
    <row r="165" spans="1:7" ht="12.75">
      <c r="A165" s="60"/>
      <c r="B165" s="44" t="s">
        <v>78</v>
      </c>
      <c r="C165" s="45">
        <f>((C170*C24)/((1+C164)*(1/(1+C164)-(1-C170)/(2-C170))))</f>
        <v>235.00783359445316</v>
      </c>
      <c r="D165" s="22">
        <f>((D170*E24)/((1+D164)*(1/(1+D164)-(1-D170)/(2-D170))))</f>
        <v>235.00783359445316</v>
      </c>
      <c r="E165" s="60"/>
      <c r="F165" s="59"/>
      <c r="G165" s="59"/>
    </row>
    <row r="166" spans="1:7" ht="12.75">
      <c r="A166" s="60"/>
      <c r="B166" s="23" t="s">
        <v>79</v>
      </c>
      <c r="C166" s="24">
        <f>(C174*C25)</f>
        <v>413.00000000000006</v>
      </c>
      <c r="D166" s="25">
        <f>(D174*E25)</f>
        <v>413.00000000000006</v>
      </c>
      <c r="E166" s="60"/>
      <c r="F166" s="59"/>
      <c r="G166" s="59"/>
    </row>
    <row r="167" spans="1:7" ht="12.75">
      <c r="A167" s="60"/>
      <c r="B167" s="44" t="s">
        <v>80</v>
      </c>
      <c r="C167" s="26">
        <f>IF(C178=2,0.5,IF(C178=3,0.29,#VALUE!))</f>
        <v>0.5</v>
      </c>
      <c r="D167" s="26">
        <f>IF(D178=2,0.5,IF(D178=3,0.29,#VALUE!))</f>
        <v>0.5</v>
      </c>
      <c r="E167" s="15"/>
      <c r="F167" s="104"/>
      <c r="G167" s="104"/>
    </row>
    <row r="168" spans="1:7" ht="12.75">
      <c r="A168" s="60"/>
      <c r="B168" s="44" t="s">
        <v>80</v>
      </c>
      <c r="C168" s="26">
        <f>IF(C178=2,0.48,IF(C178=3,0.29,#VALUE!))</f>
        <v>0.48</v>
      </c>
      <c r="D168" s="26">
        <f>IF(D178=2,0.48,IF(D178=3,0.29,#VALUE!))</f>
        <v>0.48</v>
      </c>
      <c r="E168" s="15"/>
      <c r="F168" s="104"/>
      <c r="G168" s="104"/>
    </row>
    <row r="169" spans="1:7" ht="12.75">
      <c r="A169" s="60"/>
      <c r="B169" s="23" t="s">
        <v>80</v>
      </c>
      <c r="C169" s="32">
        <f>IF(C178=2,0.43,IF(C178=3,0.23,#VALUE!))</f>
        <v>0.43</v>
      </c>
      <c r="D169" s="32">
        <f>IF(D178=2,0.43,IF(D178=3,0.23,#VALUE!))</f>
        <v>0.43</v>
      </c>
      <c r="E169" s="15"/>
      <c r="F169" s="105"/>
      <c r="G169" s="104"/>
    </row>
    <row r="170" spans="1:7" ht="12.75">
      <c r="A170" s="60"/>
      <c r="B170" s="23" t="s">
        <v>81</v>
      </c>
      <c r="C170" s="32">
        <f>IF(C23=1,C167,IF(C23=2,C168,IF(C23=3,C169,#VALUE!)))</f>
        <v>0.5</v>
      </c>
      <c r="D170" s="29">
        <f>IF(E23=1,D167,IF(E23=2,D168,IF(E23=3,D169,#VALUE!)))</f>
        <v>0.5</v>
      </c>
      <c r="E170" s="15"/>
      <c r="F170" s="105"/>
      <c r="G170" s="104"/>
    </row>
    <row r="171" spans="1:7" ht="12.75">
      <c r="A171" s="60"/>
      <c r="B171" s="44" t="s">
        <v>82</v>
      </c>
      <c r="C171" s="26">
        <f>IF(C178=2,1.4,IF(C178=3,0.58,#VALUE!))</f>
        <v>1.4000000000000001</v>
      </c>
      <c r="D171" s="27">
        <f>IF(D178=2,1.4,IF(D178=3,0.58,#VALUE!))</f>
        <v>1.4000000000000001</v>
      </c>
      <c r="E171" s="15"/>
      <c r="F171" s="105"/>
      <c r="G171" s="104"/>
    </row>
    <row r="172" spans="1:7" ht="12.75">
      <c r="A172" s="60"/>
      <c r="B172" s="44" t="s">
        <v>82</v>
      </c>
      <c r="C172" s="26">
        <f>IF(C178=2,1.25,IF(C178=3,0.65,#VALUE!))</f>
        <v>1.25</v>
      </c>
      <c r="D172" s="27">
        <f>IF(D178=2,1.25,IF(D178=3,0.65,#VALUE!))</f>
        <v>1.25</v>
      </c>
      <c r="E172" s="15"/>
      <c r="F172" s="104"/>
      <c r="G172" s="104"/>
    </row>
    <row r="173" spans="1:7" ht="12.75">
      <c r="A173" s="60"/>
      <c r="B173" s="23" t="s">
        <v>82</v>
      </c>
      <c r="C173" s="32">
        <f>IF(C178=2,1.25,IF(C178=3,0.58,#VALUE!))</f>
        <v>1.25</v>
      </c>
      <c r="D173" s="29">
        <f>IF(D178=2,1.25,IF(D178=3,0.58,#VALUE!))</f>
        <v>1.25</v>
      </c>
      <c r="E173" s="60"/>
      <c r="F173" s="59"/>
      <c r="G173" s="59"/>
    </row>
    <row r="174" spans="1:7" ht="12.75">
      <c r="A174" s="60"/>
      <c r="B174" s="23" t="s">
        <v>83</v>
      </c>
      <c r="C174" s="32">
        <f>IF(C23=1,C171,IF(C23=2,C172,IF(C23=3,C173,#VALUE!)))</f>
        <v>1.4000000000000001</v>
      </c>
      <c r="D174" s="29">
        <f>IF(E23=1,D171,IF(E23=2,D172,IF(E23=3,D173,#VALUE!)))</f>
        <v>1.4000000000000001</v>
      </c>
      <c r="E174" s="60"/>
      <c r="F174" s="59"/>
      <c r="G174" s="59"/>
    </row>
    <row r="175" spans="1:7" ht="12.75">
      <c r="A175" s="60"/>
      <c r="B175" s="44" t="s">
        <v>84</v>
      </c>
      <c r="C175" s="45">
        <f>C174*C25</f>
        <v>413.00000000000006</v>
      </c>
      <c r="D175" s="22">
        <f>D174*E25</f>
        <v>413.00000000000006</v>
      </c>
      <c r="E175" s="60"/>
      <c r="F175" s="59"/>
      <c r="G175" s="59"/>
    </row>
    <row r="176" spans="1:7" ht="12.75">
      <c r="A176" s="60"/>
      <c r="B176" s="44" t="s">
        <v>85</v>
      </c>
      <c r="C176" s="45">
        <f>(+C24*C170)/(0.000001*(1/0.000001-(1-C170)/(2-C170)))</f>
        <v>235.00007833335945</v>
      </c>
      <c r="D176" s="22">
        <f>(+E24*D170)/(0.000001*(1/0.000001-(1-D170)/(2-D170)))</f>
        <v>235.00007833335945</v>
      </c>
      <c r="E176" s="60"/>
      <c r="F176" s="59"/>
      <c r="G176" s="59"/>
    </row>
    <row r="177" spans="1:7" ht="12.75">
      <c r="A177" s="60"/>
      <c r="B177" s="23" t="s">
        <v>86</v>
      </c>
      <c r="C177" s="24">
        <f>ROUND((+C24*C170)/(1*(1/1-(1-C170)/(2-C170))),0)</f>
        <v>353</v>
      </c>
      <c r="D177" s="25">
        <f>ROUND((+E24*D170)/(1*(1/1-(1-D170)/(2-D170))),0)</f>
        <v>353</v>
      </c>
      <c r="E177" s="60"/>
      <c r="F177" s="59"/>
      <c r="G177" s="59"/>
    </row>
    <row r="178" spans="1:7" ht="12.75">
      <c r="A178" s="60"/>
      <c r="B178" s="44" t="s">
        <v>87</v>
      </c>
      <c r="C178" s="30">
        <f>IF(C15=1,2,IF(C14&gt;0,3,#VALUE!))</f>
        <v>2</v>
      </c>
      <c r="D178" s="56">
        <f>IF(E15=1,2,IF(E14&gt;0,3,#VALUE!))</f>
        <v>2</v>
      </c>
      <c r="E178" s="60"/>
      <c r="F178" s="59"/>
      <c r="G178" s="59"/>
    </row>
    <row r="179" spans="1:7" ht="19.5">
      <c r="A179" s="60"/>
      <c r="B179" s="55" t="s">
        <v>88</v>
      </c>
      <c r="C179" s="109">
        <f>IF(C15=2,0,IF(C15=1,IF(C16=1,C17,"unbekannt"),""))</f>
        <v>750</v>
      </c>
      <c r="D179" s="112">
        <f>IF(E15=2,0,IF(E15=1,IF(E16=1,E17,"unbekannt"),""))</f>
        <v>750</v>
      </c>
      <c r="E179" s="111" t="s">
        <v>7</v>
      </c>
      <c r="F179" s="110"/>
      <c r="G179" s="60"/>
    </row>
    <row r="180" spans="1:7" ht="12.75">
      <c r="A180" s="60"/>
      <c r="B180" s="55" t="s">
        <v>89</v>
      </c>
      <c r="C180" s="33">
        <f>IF(C179=0,C18*C14,IF(C179&gt;0,C18*(C179^2+0.75*(C181*C14)^2)^(1/2),C18*C14))</f>
        <v>970.7213812418061</v>
      </c>
      <c r="D180" s="45">
        <f>IF(D179=0,E18*E14,IF(D179&gt;0,E18*(D179^2+0.75*(D181*E14)^2)^(1/2),E18*E14))</f>
        <v>970.7213812418061</v>
      </c>
      <c r="E180" s="34" t="s">
        <v>7</v>
      </c>
      <c r="F180" s="59"/>
      <c r="G180" s="59"/>
    </row>
    <row r="181" spans="1:7" ht="12.75">
      <c r="A181" s="60"/>
      <c r="B181" s="23" t="s">
        <v>90</v>
      </c>
      <c r="C181" s="31">
        <f>IF(C179=0,1,IF(C19=2,IF(C20=3,0.7,1),1))</f>
        <v>0.7</v>
      </c>
      <c r="D181" s="52">
        <f>IF(D179=0,1,IF(E19=2,IF(E20=3,0.7,1),1))</f>
        <v>0.7</v>
      </c>
      <c r="E181" s="60" t="s">
        <v>7</v>
      </c>
      <c r="F181" s="59"/>
      <c r="G181" s="59"/>
    </row>
    <row r="182" spans="1:7" ht="12.75">
      <c r="A182" s="60"/>
      <c r="B182" s="60"/>
      <c r="C182" s="60"/>
      <c r="D182" s="60"/>
      <c r="E182" s="60"/>
      <c r="F182" s="59"/>
      <c r="G182" s="59"/>
    </row>
    <row r="183" spans="1:7" ht="12.75">
      <c r="A183" s="60"/>
      <c r="B183" s="60"/>
      <c r="C183" s="60"/>
      <c r="D183" s="60"/>
      <c r="E183" s="60"/>
      <c r="F183" s="59"/>
      <c r="G183" s="59"/>
    </row>
    <row r="184" spans="1:7" ht="12.75">
      <c r="A184" s="60"/>
      <c r="B184" s="60"/>
      <c r="C184" s="60"/>
      <c r="D184" s="60"/>
      <c r="E184" s="60"/>
      <c r="F184" s="59"/>
      <c r="G184" s="59"/>
    </row>
    <row r="185" spans="1:7" ht="12.75">
      <c r="A185" s="59"/>
      <c r="B185" s="59"/>
      <c r="C185" s="59"/>
      <c r="D185" s="59"/>
      <c r="E185" s="59"/>
      <c r="F185" s="59"/>
      <c r="G185" s="59"/>
    </row>
    <row r="186" spans="1:7" ht="12.75">
      <c r="A186" s="59"/>
      <c r="B186" s="59"/>
      <c r="C186" s="59"/>
      <c r="D186" s="59"/>
      <c r="E186" s="59"/>
      <c r="F186" s="59"/>
      <c r="G186" s="59"/>
    </row>
    <row r="187" spans="1:7" ht="12.75">
      <c r="A187" s="59"/>
      <c r="B187" s="59"/>
      <c r="C187" s="59"/>
      <c r="D187" s="59"/>
      <c r="E187" s="59"/>
      <c r="F187" s="59"/>
      <c r="G187" s="59"/>
    </row>
    <row r="188" spans="1:7" ht="12.75">
      <c r="A188" s="59"/>
      <c r="B188" s="59"/>
      <c r="C188" s="59"/>
      <c r="D188" s="59"/>
      <c r="E188" s="59"/>
      <c r="F188" s="59"/>
      <c r="G188" s="59"/>
    </row>
    <row r="189" spans="1:7" ht="12.75">
      <c r="A189" s="59"/>
      <c r="B189" s="59"/>
      <c r="C189" s="59"/>
      <c r="D189" s="59"/>
      <c r="E189" s="59"/>
      <c r="F189" s="59"/>
      <c r="G189" s="59"/>
    </row>
    <row r="190" spans="1:7" ht="12.75">
      <c r="A190" s="59"/>
      <c r="B190" s="59"/>
      <c r="C190" s="59"/>
      <c r="D190" s="59"/>
      <c r="E190" s="59"/>
      <c r="F190" s="59"/>
      <c r="G190" s="59"/>
    </row>
    <row r="191" spans="1:7" ht="12.75">
      <c r="A191" s="59"/>
      <c r="B191" s="59"/>
      <c r="C191" s="59"/>
      <c r="D191" s="59"/>
      <c r="E191" s="59"/>
      <c r="F191" s="59"/>
      <c r="G191" s="59"/>
    </row>
    <row r="192" spans="1:7" ht="12.75">
      <c r="A192" s="59"/>
      <c r="B192" s="59"/>
      <c r="C192" s="59"/>
      <c r="D192" s="59"/>
      <c r="E192" s="59"/>
      <c r="F192" s="59"/>
      <c r="G192" s="59"/>
    </row>
    <row r="193" spans="1:7" ht="12.75">
      <c r="A193" s="59"/>
      <c r="B193" s="59"/>
      <c r="C193" s="59"/>
      <c r="D193" s="59"/>
      <c r="E193" s="59"/>
      <c r="F193" s="59"/>
      <c r="G193" s="59"/>
    </row>
    <row r="194" spans="1:7" ht="12.75">
      <c r="A194" s="59"/>
      <c r="B194" s="59"/>
      <c r="C194" s="59"/>
      <c r="D194" s="59"/>
      <c r="E194" s="59"/>
      <c r="F194" s="59"/>
      <c r="G194" s="59"/>
    </row>
    <row r="195" spans="1:7" ht="12.75">
      <c r="A195" s="59"/>
      <c r="B195" s="59"/>
      <c r="C195" s="59"/>
      <c r="D195" s="59"/>
      <c r="E195" s="59"/>
      <c r="F195" s="59"/>
      <c r="G195" s="59"/>
    </row>
    <row r="196" spans="1:7" ht="12.75">
      <c r="A196" s="59"/>
      <c r="B196" s="59"/>
      <c r="C196" s="59"/>
      <c r="D196" s="59"/>
      <c r="E196" s="59"/>
      <c r="F196" s="59"/>
      <c r="G196" s="59"/>
    </row>
    <row r="197" spans="1:7" ht="12.75">
      <c r="A197" s="59"/>
      <c r="B197" s="59"/>
      <c r="C197" s="59"/>
      <c r="D197" s="59"/>
      <c r="E197" s="59"/>
      <c r="F197" s="59"/>
      <c r="G197" s="59"/>
    </row>
    <row r="198" spans="1:7" ht="12.75">
      <c r="A198" s="59"/>
      <c r="B198" s="59"/>
      <c r="C198" s="59"/>
      <c r="D198" s="59"/>
      <c r="E198" s="59"/>
      <c r="F198" s="59"/>
      <c r="G198" s="59"/>
    </row>
    <row r="199" spans="1:7" ht="12.75">
      <c r="A199" s="59"/>
      <c r="B199" s="59"/>
      <c r="C199" s="59"/>
      <c r="D199" s="59"/>
      <c r="E199" s="59"/>
      <c r="F199" s="59"/>
      <c r="G199" s="59"/>
    </row>
    <row r="200" spans="1:7" ht="12.75">
      <c r="A200" s="59"/>
      <c r="B200" s="59"/>
      <c r="C200" s="59"/>
      <c r="D200" s="59"/>
      <c r="E200" s="59"/>
      <c r="F200" s="59"/>
      <c r="G200" s="59"/>
    </row>
    <row r="201" spans="1:7" ht="12.75">
      <c r="A201" s="59"/>
      <c r="B201" s="59"/>
      <c r="C201" s="59"/>
      <c r="D201" s="59"/>
      <c r="E201" s="59"/>
      <c r="F201" s="59"/>
      <c r="G201" s="59"/>
    </row>
    <row r="202" spans="1:7" ht="12.75">
      <c r="A202" s="59"/>
      <c r="B202" s="59"/>
      <c r="C202" s="59"/>
      <c r="D202" s="59"/>
      <c r="E202" s="59"/>
      <c r="F202" s="59"/>
      <c r="G202" s="59"/>
    </row>
    <row r="203" spans="1:7" ht="12.75">
      <c r="A203" s="59"/>
      <c r="B203" s="59"/>
      <c r="C203" s="59"/>
      <c r="D203" s="59"/>
      <c r="E203" s="59"/>
      <c r="F203" s="59"/>
      <c r="G203" s="59"/>
    </row>
    <row r="204" spans="1:7" ht="12.75">
      <c r="A204" s="59"/>
      <c r="B204" s="59"/>
      <c r="C204" s="59"/>
      <c r="D204" s="59"/>
      <c r="E204" s="59"/>
      <c r="F204" s="59"/>
      <c r="G204" s="59"/>
    </row>
  </sheetData>
  <sheetProtection sheet="1" objects="1" scenarios="1"/>
  <printOptions/>
  <pageMargins left="0.75" right="0.75" top="0.9842519690000001" bottom="0.9842519690000001" header="0.511811023" footer="0.511811023"/>
  <pageSetup orientation="portrait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5:I23"/>
  <sheetViews>
    <sheetView showGridLines="0" workbookViewId="0" topLeftCell="A1">
      <selection activeCell="D21" sqref="D21"/>
    </sheetView>
  </sheetViews>
  <sheetFormatPr defaultColWidth="11.421875" defaultRowHeight="12.75"/>
  <sheetData>
    <row r="15" spans="6:9" ht="12.75">
      <c r="F15" s="83"/>
      <c r="G15" s="83"/>
      <c r="H15" s="83"/>
      <c r="I15" s="83"/>
    </row>
    <row r="16" spans="6:9" ht="12.75">
      <c r="F16" s="83"/>
      <c r="G16" s="84"/>
      <c r="H16" s="84"/>
      <c r="I16" s="84"/>
    </row>
    <row r="17" spans="6:9" ht="12.75">
      <c r="F17" s="83"/>
      <c r="G17" s="84"/>
      <c r="H17" s="84"/>
      <c r="I17" s="84"/>
    </row>
    <row r="18" spans="6:9" ht="12.75">
      <c r="F18" s="83"/>
      <c r="G18" s="84"/>
      <c r="H18" s="84"/>
      <c r="I18" s="84"/>
    </row>
    <row r="19" spans="6:9" ht="12.75">
      <c r="F19" s="83"/>
      <c r="G19" s="84"/>
      <c r="H19" s="84"/>
      <c r="I19" s="84"/>
    </row>
    <row r="20" spans="6:9" ht="12.75">
      <c r="F20" s="83"/>
      <c r="G20" s="84"/>
      <c r="H20" s="84"/>
      <c r="I20" s="84"/>
    </row>
    <row r="21" spans="6:9" ht="12.75">
      <c r="F21" s="83"/>
      <c r="G21" s="84"/>
      <c r="H21" s="84"/>
      <c r="I21" s="84"/>
    </row>
    <row r="22" spans="6:9" ht="12.75">
      <c r="F22" s="83"/>
      <c r="G22" s="84"/>
      <c r="H22" s="84"/>
      <c r="I22" s="84"/>
    </row>
    <row r="23" spans="6:9" ht="12.75">
      <c r="F23" s="83"/>
      <c r="G23" s="84"/>
      <c r="H23" s="84"/>
      <c r="I23" s="84"/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9:E19"/>
  <sheetViews>
    <sheetView showGridLines="0" workbookViewId="0" topLeftCell="A1">
      <selection activeCell="D20" sqref="D20"/>
    </sheetView>
  </sheetViews>
  <sheetFormatPr defaultColWidth="11.421875" defaultRowHeight="12.75"/>
  <sheetData>
    <row r="19" ht="12.75">
      <c r="E19" t="s">
        <v>7</v>
      </c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0"/>
  <sheetViews>
    <sheetView showGridLines="0" workbookViewId="0" topLeftCell="A1">
      <selection activeCell="G20" sqref="G20"/>
    </sheetView>
  </sheetViews>
  <sheetFormatPr defaultColWidth="11.421875" defaultRowHeight="12.75"/>
  <cols>
    <col min="2" max="5" width="6.7109375" style="0" customWidth="1"/>
    <col min="6" max="6" width="10.140625" style="0" customWidth="1"/>
    <col min="7" max="9" width="6.7109375" style="0" customWidth="1"/>
    <col min="10" max="10" width="10.00390625" style="0" customWidth="1"/>
    <col min="11" max="12" width="6.7109375" style="0" customWidth="1"/>
  </cols>
  <sheetData>
    <row r="3" spans="2:12" ht="12.75">
      <c r="B3" s="203" t="s">
        <v>91</v>
      </c>
      <c r="C3" s="204"/>
      <c r="D3" s="205"/>
      <c r="E3" s="205"/>
      <c r="F3" s="205"/>
      <c r="G3" s="204"/>
      <c r="H3" s="204"/>
      <c r="I3" s="204"/>
      <c r="J3" s="204"/>
      <c r="K3" s="204"/>
      <c r="L3" s="204"/>
    </row>
    <row r="4" spans="2:12" ht="12.75">
      <c r="B4" s="205" t="s">
        <v>92</v>
      </c>
      <c r="C4" s="204"/>
      <c r="D4" s="205"/>
      <c r="E4" s="205"/>
      <c r="F4" s="205"/>
      <c r="G4" s="204"/>
      <c r="H4" s="204"/>
      <c r="I4" s="204"/>
      <c r="J4" s="204"/>
      <c r="K4" s="204"/>
      <c r="L4" s="204"/>
    </row>
    <row r="6" ht="13.5" thickBot="1"/>
    <row r="7" spans="2:12" ht="12.75">
      <c r="B7" s="93" t="s">
        <v>93</v>
      </c>
      <c r="C7" s="94"/>
      <c r="D7" s="95"/>
      <c r="F7" s="93" t="s">
        <v>94</v>
      </c>
      <c r="G7" s="94"/>
      <c r="H7" s="95"/>
      <c r="J7" s="93" t="s">
        <v>95</v>
      </c>
      <c r="K7" s="94"/>
      <c r="L7" s="95"/>
    </row>
    <row r="8" spans="2:12" ht="19.5" thickBot="1">
      <c r="B8" s="96"/>
      <c r="C8" s="97" t="s">
        <v>96</v>
      </c>
      <c r="D8" s="98" t="s">
        <v>97</v>
      </c>
      <c r="E8" s="99"/>
      <c r="F8" s="96"/>
      <c r="G8" s="97" t="s">
        <v>96</v>
      </c>
      <c r="H8" s="98" t="s">
        <v>97</v>
      </c>
      <c r="I8" s="99"/>
      <c r="J8" s="96"/>
      <c r="K8" s="97" t="s">
        <v>96</v>
      </c>
      <c r="L8" s="98" t="s">
        <v>97</v>
      </c>
    </row>
    <row r="9" spans="2:12" ht="12.75">
      <c r="B9" s="91" t="s">
        <v>98</v>
      </c>
      <c r="C9" s="87">
        <v>340</v>
      </c>
      <c r="D9" s="88">
        <v>235</v>
      </c>
      <c r="F9" s="90" t="s">
        <v>99</v>
      </c>
      <c r="G9" s="87">
        <v>550</v>
      </c>
      <c r="H9" s="88">
        <v>350</v>
      </c>
      <c r="J9" s="90" t="s">
        <v>100</v>
      </c>
      <c r="K9" s="87">
        <v>640</v>
      </c>
      <c r="L9" s="88">
        <v>390</v>
      </c>
    </row>
    <row r="10" spans="2:12" ht="12.75">
      <c r="B10" s="91" t="s">
        <v>101</v>
      </c>
      <c r="C10" s="87">
        <v>410</v>
      </c>
      <c r="D10" s="88">
        <v>275</v>
      </c>
      <c r="F10" s="90" t="s">
        <v>102</v>
      </c>
      <c r="G10" s="87">
        <v>700</v>
      </c>
      <c r="H10" s="88">
        <v>500</v>
      </c>
      <c r="J10" s="90" t="s">
        <v>103</v>
      </c>
      <c r="K10" s="87">
        <v>740</v>
      </c>
      <c r="L10" s="88">
        <v>440</v>
      </c>
    </row>
    <row r="11" spans="2:12" ht="12.75">
      <c r="B11" s="91" t="s">
        <v>104</v>
      </c>
      <c r="C11" s="87">
        <v>470</v>
      </c>
      <c r="D11" s="88">
        <v>295</v>
      </c>
      <c r="F11" s="90" t="s">
        <v>105</v>
      </c>
      <c r="G11" s="87">
        <v>850</v>
      </c>
      <c r="H11" s="88">
        <v>580</v>
      </c>
      <c r="J11" s="90" t="s">
        <v>106</v>
      </c>
      <c r="K11" s="87">
        <v>780</v>
      </c>
      <c r="L11" s="88">
        <v>510</v>
      </c>
    </row>
    <row r="12" spans="2:12" ht="12.75">
      <c r="B12" s="91" t="s">
        <v>107</v>
      </c>
      <c r="C12" s="87">
        <v>570</v>
      </c>
      <c r="D12" s="88">
        <v>335</v>
      </c>
      <c r="F12" s="90" t="s">
        <v>108</v>
      </c>
      <c r="G12" s="87">
        <v>900</v>
      </c>
      <c r="H12" s="88">
        <v>650</v>
      </c>
      <c r="J12" s="90" t="s">
        <v>109</v>
      </c>
      <c r="K12" s="87">
        <v>880</v>
      </c>
      <c r="L12" s="88">
        <v>635</v>
      </c>
    </row>
    <row r="13" spans="2:12" ht="13.5" thickBot="1">
      <c r="B13" s="92" t="s">
        <v>110</v>
      </c>
      <c r="C13" s="85">
        <v>670</v>
      </c>
      <c r="D13" s="86">
        <v>365</v>
      </c>
      <c r="F13" s="90" t="s">
        <v>111</v>
      </c>
      <c r="G13" s="87">
        <v>1000</v>
      </c>
      <c r="H13" s="88">
        <v>800</v>
      </c>
      <c r="J13" s="90" t="s">
        <v>112</v>
      </c>
      <c r="K13" s="87">
        <v>1080</v>
      </c>
      <c r="L13" s="88">
        <v>735</v>
      </c>
    </row>
    <row r="14" spans="6:12" ht="12.75">
      <c r="F14" s="90" t="s">
        <v>113</v>
      </c>
      <c r="G14" s="87">
        <v>900</v>
      </c>
      <c r="H14" s="88">
        <v>700</v>
      </c>
      <c r="J14" s="90" t="s">
        <v>114</v>
      </c>
      <c r="K14" s="87">
        <v>880</v>
      </c>
      <c r="L14" s="88">
        <v>635</v>
      </c>
    </row>
    <row r="15" spans="6:12" ht="12.75">
      <c r="F15" s="90" t="s">
        <v>115</v>
      </c>
      <c r="G15" s="87">
        <v>1100</v>
      </c>
      <c r="H15" s="88">
        <v>900</v>
      </c>
      <c r="J15" s="90" t="s">
        <v>116</v>
      </c>
      <c r="K15" s="87">
        <v>960</v>
      </c>
      <c r="L15" s="88">
        <v>685</v>
      </c>
    </row>
    <row r="16" spans="6:12" ht="13.5" thickBot="1">
      <c r="F16" s="90" t="s">
        <v>117</v>
      </c>
      <c r="G16" s="87">
        <v>1100</v>
      </c>
      <c r="H16" s="88">
        <v>900</v>
      </c>
      <c r="J16" s="89" t="s">
        <v>118</v>
      </c>
      <c r="K16" s="85">
        <v>1180</v>
      </c>
      <c r="L16" s="86">
        <v>835</v>
      </c>
    </row>
    <row r="17" spans="6:8" ht="13.5" thickBot="1">
      <c r="F17" s="89" t="s">
        <v>119</v>
      </c>
      <c r="G17" s="85">
        <v>1250</v>
      </c>
      <c r="H17" s="86">
        <v>1050</v>
      </c>
    </row>
    <row r="20" ht="12.75">
      <c r="G20" t="s">
        <v>120</v>
      </c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2001-11-21T23:57:34Z</dcterms:created>
  <dcterms:modified xsi:type="dcterms:W3CDTF">2001-11-21T23:59:56Z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